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445" windowHeight="9840"/>
  </bookViews>
  <sheets>
    <sheet name="固装产品" sheetId="5" r:id="rId1"/>
    <sheet name="五金产品" sheetId="2" r:id="rId2"/>
  </sheets>
  <definedNames>
    <definedName name="_xlnm._FilterDatabase" localSheetId="0" hidden="1">固装产品!$A$3:$K$3</definedName>
    <definedName name="_xlnm._FilterDatabase" localSheetId="1" hidden="1">五金产品!$A$3:$K$179</definedName>
    <definedName name="_xlnm.Print_Titles" localSheetId="0">固装产品!$2:$3</definedName>
    <definedName name="_xlnm.Print_Titles" localSheetId="1">五金产品!$2:$3</definedName>
  </definedNames>
  <calcPr calcId="144525" concurrentCalc="0"/>
</workbook>
</file>

<file path=xl/calcChain.xml><?xml version="1.0" encoding="utf-8"?>
<calcChain xmlns="http://schemas.openxmlformats.org/spreadsheetml/2006/main">
  <c r="J101" i="2"/>
  <c r="J36"/>
  <c r="J8"/>
  <c r="J529" i="5"/>
  <c r="J528"/>
  <c r="J527"/>
  <c r="J525"/>
  <c r="J524"/>
  <c r="J523"/>
  <c r="J522"/>
  <c r="J521"/>
  <c r="E521"/>
  <c r="J519"/>
  <c r="J518"/>
  <c r="J517"/>
  <c r="E517"/>
  <c r="J515"/>
  <c r="J512"/>
  <c r="J511"/>
  <c r="J509"/>
  <c r="J507"/>
  <c r="E507"/>
  <c r="J506"/>
  <c r="J505"/>
  <c r="J503"/>
  <c r="J502"/>
  <c r="J500"/>
  <c r="J499"/>
  <c r="J498"/>
  <c r="J497"/>
  <c r="J495"/>
  <c r="E495"/>
  <c r="J494"/>
  <c r="J493"/>
  <c r="J487"/>
  <c r="E487"/>
  <c r="J486"/>
  <c r="E486"/>
  <c r="J485"/>
  <c r="J483"/>
  <c r="E483"/>
  <c r="J482"/>
  <c r="J481"/>
  <c r="J477"/>
  <c r="J476"/>
  <c r="J474"/>
  <c r="J473"/>
  <c r="E473"/>
  <c r="J472"/>
  <c r="J471"/>
  <c r="J469"/>
  <c r="J467"/>
  <c r="E467"/>
  <c r="J466"/>
  <c r="J465"/>
  <c r="J464"/>
  <c r="J463"/>
  <c r="J461"/>
  <c r="J460"/>
  <c r="E460"/>
  <c r="J455"/>
  <c r="J453"/>
  <c r="E453"/>
  <c r="J452"/>
  <c r="J451"/>
  <c r="J448"/>
  <c r="J447"/>
  <c r="J444"/>
  <c r="J443"/>
  <c r="J442"/>
  <c r="J441"/>
  <c r="J440"/>
  <c r="J438"/>
  <c r="E438"/>
  <c r="J437"/>
  <c r="J436"/>
  <c r="J434"/>
  <c r="J433"/>
  <c r="J432"/>
  <c r="J431"/>
  <c r="E431"/>
  <c r="J430"/>
  <c r="J429"/>
  <c r="J428"/>
  <c r="E428"/>
  <c r="J427"/>
  <c r="E427"/>
  <c r="J426"/>
  <c r="J425"/>
  <c r="J424"/>
  <c r="J423"/>
  <c r="E423"/>
  <c r="J420"/>
  <c r="J419"/>
  <c r="J418"/>
  <c r="J417"/>
  <c r="J416"/>
  <c r="E416"/>
  <c r="J414"/>
  <c r="J413"/>
  <c r="E413"/>
  <c r="J412"/>
  <c r="J411"/>
  <c r="J409"/>
  <c r="J408"/>
  <c r="J407"/>
  <c r="E407"/>
  <c r="J404"/>
  <c r="J403"/>
  <c r="E403"/>
  <c r="J399"/>
  <c r="J398"/>
  <c r="E398"/>
  <c r="J397"/>
  <c r="J396"/>
  <c r="J394"/>
  <c r="J393"/>
  <c r="E393"/>
  <c r="J392"/>
  <c r="J391"/>
  <c r="J390"/>
  <c r="J388"/>
  <c r="J387"/>
  <c r="E387"/>
  <c r="J386"/>
  <c r="J385"/>
  <c r="J383"/>
  <c r="J382"/>
  <c r="J381"/>
  <c r="J378"/>
  <c r="J377"/>
  <c r="E377"/>
  <c r="J376"/>
  <c r="J375"/>
  <c r="J373"/>
  <c r="E373"/>
  <c r="J372"/>
  <c r="E372"/>
  <c r="J369"/>
  <c r="E369"/>
  <c r="J368"/>
  <c r="J366"/>
  <c r="J365"/>
  <c r="J364"/>
  <c r="J361"/>
  <c r="J360"/>
  <c r="J357"/>
  <c r="J356"/>
  <c r="J355"/>
  <c r="E355"/>
  <c r="J354"/>
  <c r="J350"/>
  <c r="J349"/>
  <c r="J348"/>
  <c r="J346"/>
  <c r="J345"/>
  <c r="E345"/>
  <c r="J344"/>
  <c r="J343"/>
  <c r="J341"/>
  <c r="J340"/>
  <c r="J339"/>
  <c r="J338"/>
  <c r="J337"/>
  <c r="J336"/>
  <c r="E336"/>
  <c r="J333"/>
  <c r="J332"/>
  <c r="J329"/>
  <c r="J328"/>
  <c r="J325"/>
  <c r="J324"/>
  <c r="J323"/>
  <c r="J322"/>
  <c r="J321"/>
  <c r="J320"/>
  <c r="J319"/>
  <c r="J318"/>
  <c r="E318"/>
  <c r="J317"/>
  <c r="J316"/>
  <c r="J315"/>
  <c r="J314"/>
  <c r="E314"/>
  <c r="J312"/>
  <c r="J311"/>
  <c r="J310"/>
  <c r="E310"/>
  <c r="J309"/>
  <c r="J308"/>
  <c r="J307"/>
  <c r="E307"/>
  <c r="J304"/>
  <c r="J303"/>
  <c r="E303"/>
  <c r="J301"/>
  <c r="J300"/>
  <c r="J299"/>
  <c r="J298"/>
  <c r="J297"/>
  <c r="J296"/>
  <c r="J295"/>
  <c r="J294"/>
  <c r="J293"/>
  <c r="J292"/>
  <c r="J291"/>
  <c r="E291"/>
  <c r="J290"/>
  <c r="E290"/>
  <c r="J288"/>
  <c r="J287"/>
  <c r="J286"/>
  <c r="E286"/>
  <c r="J285"/>
  <c r="J284"/>
  <c r="J282"/>
  <c r="J281"/>
  <c r="E281"/>
  <c r="J280"/>
  <c r="J279"/>
  <c r="E279"/>
  <c r="J277"/>
  <c r="J276"/>
  <c r="E276"/>
  <c r="J275"/>
  <c r="J274"/>
  <c r="J273"/>
  <c r="J271"/>
  <c r="J270"/>
  <c r="J269"/>
  <c r="E269"/>
  <c r="J268"/>
  <c r="J267"/>
  <c r="J265"/>
  <c r="J264"/>
  <c r="J263"/>
  <c r="E263"/>
  <c r="J262"/>
  <c r="J261"/>
  <c r="J259"/>
  <c r="J258"/>
  <c r="J257"/>
  <c r="J256"/>
  <c r="E256"/>
  <c r="J254"/>
  <c r="J253"/>
  <c r="J252"/>
  <c r="J251"/>
  <c r="J250"/>
  <c r="J249"/>
  <c r="J248"/>
  <c r="J247"/>
  <c r="E247"/>
  <c r="J246"/>
  <c r="E246"/>
  <c r="J245"/>
  <c r="E245"/>
  <c r="J244"/>
  <c r="J243"/>
  <c r="E243"/>
  <c r="J241"/>
  <c r="J240"/>
  <c r="J239"/>
  <c r="E239"/>
  <c r="J236"/>
  <c r="J235"/>
  <c r="J233"/>
  <c r="E233"/>
  <c r="J232"/>
  <c r="J231"/>
  <c r="J229"/>
  <c r="J228"/>
  <c r="J226"/>
  <c r="E226"/>
  <c r="J225"/>
  <c r="J224"/>
  <c r="J221"/>
  <c r="J220"/>
  <c r="J218"/>
  <c r="J217"/>
  <c r="J216"/>
  <c r="J215"/>
  <c r="J214"/>
  <c r="G214"/>
  <c r="J213"/>
  <c r="J212"/>
  <c r="J211"/>
  <c r="E211"/>
  <c r="J210"/>
  <c r="J205"/>
  <c r="J204"/>
  <c r="E204"/>
  <c r="J201"/>
  <c r="J200"/>
  <c r="J199"/>
  <c r="E199"/>
  <c r="J195"/>
  <c r="J194"/>
  <c r="E194"/>
  <c r="J190"/>
  <c r="J189"/>
  <c r="E189"/>
  <c r="J187"/>
  <c r="J186"/>
  <c r="J184"/>
  <c r="J183"/>
  <c r="J182"/>
  <c r="E182"/>
  <c r="J181"/>
  <c r="E181"/>
  <c r="J180"/>
  <c r="J179"/>
  <c r="J178"/>
  <c r="J177"/>
  <c r="E177"/>
  <c r="J176"/>
  <c r="J175"/>
  <c r="E175"/>
  <c r="J173"/>
  <c r="J172"/>
  <c r="J171"/>
  <c r="E171"/>
  <c r="J169"/>
  <c r="J168"/>
  <c r="J167"/>
  <c r="J166"/>
  <c r="J165"/>
  <c r="J164"/>
  <c r="E164"/>
  <c r="E162"/>
  <c r="J161"/>
  <c r="E161"/>
  <c r="J160"/>
  <c r="J159"/>
  <c r="J158"/>
  <c r="J157"/>
  <c r="J156"/>
  <c r="J155"/>
  <c r="J153"/>
  <c r="J152"/>
  <c r="J151"/>
  <c r="E151"/>
  <c r="J150"/>
  <c r="J149"/>
  <c r="J148"/>
  <c r="J147"/>
  <c r="J146"/>
  <c r="J145"/>
  <c r="E145"/>
  <c r="J144"/>
  <c r="J142"/>
  <c r="J141"/>
  <c r="E141"/>
  <c r="J140"/>
  <c r="J138"/>
  <c r="E138"/>
  <c r="J137"/>
  <c r="J136"/>
  <c r="E136"/>
  <c r="J135"/>
  <c r="J134"/>
  <c r="J133"/>
  <c r="J132"/>
  <c r="E132"/>
  <c r="J130"/>
  <c r="J129"/>
  <c r="J128"/>
  <c r="E128"/>
  <c r="J127"/>
  <c r="J126"/>
  <c r="J125"/>
  <c r="E125"/>
  <c r="J124"/>
  <c r="J123"/>
  <c r="J122"/>
  <c r="J121"/>
  <c r="E121"/>
  <c r="J120"/>
  <c r="J119"/>
  <c r="E119"/>
  <c r="J117"/>
  <c r="J116"/>
  <c r="E116"/>
  <c r="J114"/>
  <c r="E114"/>
  <c r="J113"/>
  <c r="E113"/>
  <c r="J112"/>
  <c r="J111"/>
  <c r="J110"/>
  <c r="J108"/>
  <c r="E108"/>
  <c r="J107"/>
  <c r="J106"/>
  <c r="J104"/>
  <c r="J103"/>
  <c r="J102"/>
  <c r="J100"/>
  <c r="E100"/>
  <c r="J99"/>
  <c r="J98"/>
  <c r="J97"/>
  <c r="E97"/>
  <c r="J92"/>
  <c r="J91"/>
  <c r="E91"/>
  <c r="J89"/>
  <c r="J88"/>
  <c r="E88"/>
  <c r="J87"/>
  <c r="J86"/>
  <c r="J85"/>
  <c r="J84"/>
  <c r="E84"/>
  <c r="J83"/>
  <c r="E83"/>
  <c r="J82"/>
  <c r="J81"/>
  <c r="E81"/>
  <c r="J80"/>
  <c r="J79"/>
  <c r="E77"/>
  <c r="J74"/>
  <c r="E74"/>
  <c r="J73"/>
  <c r="E73"/>
  <c r="E70"/>
  <c r="J68"/>
  <c r="J65"/>
  <c r="E63"/>
  <c r="J61"/>
  <c r="J60"/>
  <c r="J59"/>
  <c r="G59"/>
  <c r="E59"/>
  <c r="J58"/>
  <c r="J57"/>
  <c r="J55"/>
  <c r="J54"/>
  <c r="J53"/>
  <c r="E53"/>
  <c r="J52"/>
  <c r="J51"/>
  <c r="J50"/>
  <c r="E50"/>
  <c r="J49"/>
  <c r="J48"/>
  <c r="E46"/>
  <c r="J44"/>
  <c r="J43"/>
  <c r="J42"/>
  <c r="G42"/>
  <c r="E42"/>
  <c r="J41"/>
  <c r="E41"/>
  <c r="J40"/>
  <c r="J39"/>
  <c r="J36"/>
  <c r="J35"/>
  <c r="J34"/>
  <c r="E34"/>
  <c r="J33"/>
  <c r="J30"/>
  <c r="E30"/>
  <c r="J27"/>
  <c r="E27"/>
  <c r="J26"/>
  <c r="E24"/>
  <c r="J23"/>
  <c r="J22"/>
</calcChain>
</file>

<file path=xl/sharedStrings.xml><?xml version="1.0" encoding="utf-8"?>
<sst xmlns="http://schemas.openxmlformats.org/spreadsheetml/2006/main" count="2155" uniqueCount="249">
  <si>
    <t>木作分析表</t>
  </si>
  <si>
    <t>序号</t>
  </si>
  <si>
    <t>产品区域</t>
  </si>
  <si>
    <t>产品编号</t>
  </si>
  <si>
    <t>产品名称</t>
  </si>
  <si>
    <t>产品规格(MM)</t>
  </si>
  <si>
    <t>材料、工艺说明</t>
  </si>
  <si>
    <t>单位</t>
  </si>
  <si>
    <t>数量</t>
  </si>
  <si>
    <t>备注</t>
  </si>
  <si>
    <t>长</t>
  </si>
  <si>
    <t>宽</t>
  </si>
  <si>
    <t>高</t>
  </si>
  <si>
    <t>负一层</t>
  </si>
  <si>
    <t>吧台区</t>
  </si>
  <si>
    <t>1立面</t>
  </si>
  <si>
    <t>吧台</t>
  </si>
  <si>
    <t>实木多层板+大理石台面石</t>
  </si>
  <si>
    <t>平方</t>
  </si>
  <si>
    <t>中间酒柜：柜体</t>
  </si>
  <si>
    <t>实木多层板+白色</t>
  </si>
  <si>
    <t>不含金属层板</t>
  </si>
  <si>
    <t>金属条</t>
  </si>
  <si>
    <t>不锈钢</t>
  </si>
  <si>
    <t>米</t>
  </si>
  <si>
    <t>下柜门板</t>
  </si>
  <si>
    <t>实木多层板+白色+线条玫瑰金做旧</t>
  </si>
  <si>
    <t>上柜门板</t>
  </si>
  <si>
    <t>实木多层板+白色+实木线条玫瑰金做旧+5MM钢化玻璃</t>
  </si>
  <si>
    <t>左右楣板</t>
  </si>
  <si>
    <t>实木多层板+哑白+实木线条玫瑰金做旧</t>
  </si>
  <si>
    <t>雕花</t>
  </si>
  <si>
    <t>实木+玫瑰金</t>
  </si>
  <si>
    <t>个</t>
  </si>
  <si>
    <t>中楣板</t>
  </si>
  <si>
    <t>实木多层板+白色+实木线条玫瑰金做旧</t>
  </si>
  <si>
    <t>罗马柱</t>
  </si>
  <si>
    <t>根</t>
  </si>
  <si>
    <t>天花线</t>
  </si>
  <si>
    <t>实木线条+白色</t>
  </si>
  <si>
    <t>酒瓶架</t>
  </si>
  <si>
    <t>实木多层板+实木线条+白色</t>
  </si>
  <si>
    <t>造型木饰面</t>
  </si>
  <si>
    <t>碳化木挂条</t>
  </si>
  <si>
    <t>左侧装饰柜柜体</t>
  </si>
  <si>
    <t>不含墙布、金属层板</t>
  </si>
  <si>
    <t>右侧装饰柜柜体</t>
  </si>
  <si>
    <t>2立面</t>
  </si>
  <si>
    <t>左柜柜体</t>
  </si>
  <si>
    <t>实木线条</t>
  </si>
  <si>
    <t>右柜柜体</t>
  </si>
  <si>
    <r>
      <rPr>
        <sz val="9"/>
        <rFont val="宋体"/>
        <charset val="134"/>
      </rPr>
      <t>实木多层板+白色</t>
    </r>
    <r>
      <rPr>
        <sz val="9"/>
        <rFont val="宋体"/>
        <charset val="134"/>
      </rPr>
      <t>+不锈钢</t>
    </r>
  </si>
  <si>
    <t>中间门框套套线</t>
  </si>
  <si>
    <t>门框板</t>
  </si>
  <si>
    <t>3立面</t>
  </si>
  <si>
    <t>门框套套线</t>
  </si>
  <si>
    <t>麻将间房双开移门门套线</t>
  </si>
  <si>
    <t>铝合金门板</t>
  </si>
  <si>
    <t>铝合金+8MM玻璃</t>
  </si>
  <si>
    <t>门顶板</t>
  </si>
  <si>
    <t>电梯门套线</t>
  </si>
  <si>
    <t>4立面</t>
  </si>
  <si>
    <t>实木多层板+哑白+线条玫瑰金做旧</t>
  </si>
  <si>
    <t>通往餐厅门套线</t>
  </si>
  <si>
    <t>影音室单开门门套线</t>
  </si>
  <si>
    <t>房门板</t>
  </si>
  <si>
    <t>实木多层板+白色+实木线条玫瑰金做旧+不锈钢</t>
  </si>
  <si>
    <t>不含门控五金</t>
  </si>
  <si>
    <t>5立面</t>
  </si>
  <si>
    <t>中厨单开移门门套线</t>
  </si>
  <si>
    <t>6立面</t>
  </si>
  <si>
    <t>抒写区</t>
  </si>
  <si>
    <t>书柜柜体</t>
  </si>
  <si>
    <t>不含金属层板、贝壳</t>
  </si>
  <si>
    <t>造型柜门板</t>
  </si>
  <si>
    <t>左侧门框套门套线</t>
  </si>
  <si>
    <t>右侧门框套门套线</t>
  </si>
  <si>
    <t>实木多层板+灰色+线条玫瑰金做旧</t>
  </si>
  <si>
    <t>实木多层板+白色+线条玫瑰金做旧+5MM银镜</t>
  </si>
  <si>
    <t>中间造型木饰面</t>
  </si>
  <si>
    <t>装饰柜线条</t>
  </si>
  <si>
    <t>餐厅区</t>
  </si>
  <si>
    <t>两侧酒柜柜体</t>
  </si>
  <si>
    <t>酒瓶托</t>
  </si>
  <si>
    <t>金属柜门板</t>
  </si>
  <si>
    <t>卫生间01单开门门套线</t>
  </si>
  <si>
    <t>洗衣房单开门门套线</t>
  </si>
  <si>
    <t>两侧高柜橱柜柜体</t>
  </si>
  <si>
    <t>左柜左侧木饰面</t>
  </si>
  <si>
    <t>柜门板</t>
  </si>
  <si>
    <t>中间地柜柜体</t>
  </si>
  <si>
    <t>不含石材</t>
  </si>
  <si>
    <t>中间吊柜柜体</t>
  </si>
  <si>
    <t>上柜收口板</t>
  </si>
  <si>
    <t>家政房单开门门套线</t>
  </si>
  <si>
    <t>阳台半边套门套线</t>
  </si>
  <si>
    <t>窗套窗套线</t>
  </si>
  <si>
    <t>窗框板</t>
  </si>
  <si>
    <t>中厨</t>
  </si>
  <si>
    <t>吊柜柜体</t>
  </si>
  <si>
    <t>收口板造型</t>
  </si>
  <si>
    <t>地柜柜体</t>
  </si>
  <si>
    <t>不含硬包</t>
  </si>
  <si>
    <t>右侧高柜柜体</t>
  </si>
  <si>
    <t>金属</t>
  </si>
  <si>
    <t>影音室</t>
  </si>
  <si>
    <t>中间硬包木饰面</t>
  </si>
  <si>
    <t>实木多层板+布料</t>
  </si>
  <si>
    <t>两侧下造型木饰面</t>
  </si>
  <si>
    <t>两侧上造型木饰面</t>
  </si>
  <si>
    <t>实木多层板+白色+线条玫瑰金做旧+硬包</t>
  </si>
  <si>
    <t>两侧造型柱子</t>
  </si>
  <si>
    <t>两侧半圆硬包饰面</t>
  </si>
  <si>
    <t>不含布料</t>
  </si>
  <si>
    <t>窗套板</t>
  </si>
  <si>
    <t>卫生间01</t>
  </si>
  <si>
    <t>台盆柜柜体</t>
  </si>
  <si>
    <t>麻将房</t>
  </si>
  <si>
    <t>腰线</t>
  </si>
  <si>
    <t>踢脚线</t>
  </si>
  <si>
    <t>楼梯间</t>
  </si>
  <si>
    <t>负一层造型木饰面</t>
  </si>
  <si>
    <t>一.二.层造型木饰面</t>
  </si>
  <si>
    <t>三层造型木饰面</t>
  </si>
  <si>
    <t>不含玻璃</t>
  </si>
  <si>
    <r>
      <rPr>
        <sz val="9"/>
        <rFont val="宋体"/>
        <charset val="134"/>
      </rPr>
      <t>3</t>
    </r>
    <r>
      <rPr>
        <sz val="9"/>
        <rFont val="宋体"/>
        <charset val="134"/>
      </rPr>
      <t xml:space="preserve"> 立面</t>
    </r>
  </si>
  <si>
    <t>家政间</t>
  </si>
  <si>
    <t>卫生间单开门门套线</t>
  </si>
  <si>
    <t>洗衣房</t>
  </si>
  <si>
    <t>设备房单开门门套线</t>
  </si>
  <si>
    <t>实木线条+灰色</t>
  </si>
  <si>
    <t>实木多层板+灰色</t>
  </si>
  <si>
    <t>实木多层板+灰色+实木线条玫瑰金做旧</t>
  </si>
  <si>
    <t>一层</t>
  </si>
  <si>
    <t>客厅</t>
  </si>
  <si>
    <t>实木多层板++白色+实木线条玫瑰金做旧+硬包</t>
  </si>
  <si>
    <t>顶部造型木饰面</t>
  </si>
  <si>
    <t>实木多层板++白色+实木线条玫瑰金做旧</t>
  </si>
  <si>
    <t>两侧装饰柜柜体</t>
  </si>
  <si>
    <t>不含夹丝玻璃金属树脂雪花砖</t>
  </si>
  <si>
    <t>客厅门套门套线</t>
  </si>
  <si>
    <t>不含大理石金属花</t>
  </si>
  <si>
    <t>两侧硬包木饰面</t>
  </si>
  <si>
    <t>实木多层板+白色+硬包</t>
  </si>
  <si>
    <t>实木线条++白色</t>
  </si>
  <si>
    <t>硬包木饰面</t>
  </si>
  <si>
    <t>不含布料金属花</t>
  </si>
  <si>
    <t>走道</t>
  </si>
  <si>
    <t>客卧01单开门门套线</t>
  </si>
  <si>
    <t>客卧02单开门门套线</t>
  </si>
  <si>
    <t>左侧硬包木饰面</t>
  </si>
  <si>
    <t>装饰柜柜体</t>
  </si>
  <si>
    <t>藏品室移门门套线</t>
  </si>
  <si>
    <t>实木多层板+白色+实木线条玫瑰金做旧+8MM钢化玻璃</t>
  </si>
  <si>
    <t>门厅套门套线</t>
  </si>
  <si>
    <t>玄关套门套线</t>
  </si>
  <si>
    <t>7立面</t>
  </si>
  <si>
    <r>
      <rPr>
        <sz val="9"/>
        <rFont val="宋体"/>
        <charset val="134"/>
      </rPr>
      <t>客卧0</t>
    </r>
    <r>
      <rPr>
        <sz val="9"/>
        <rFont val="宋体"/>
        <charset val="134"/>
      </rPr>
      <t>1</t>
    </r>
  </si>
  <si>
    <t>不含布料玻璃</t>
  </si>
  <si>
    <t>硬包造型木饰面</t>
  </si>
  <si>
    <t>衣帽间套门套线</t>
  </si>
  <si>
    <t>客卧02</t>
  </si>
  <si>
    <t>衣柜柜体</t>
  </si>
  <si>
    <t>百叶柜门板</t>
  </si>
  <si>
    <t>抽屉</t>
  </si>
  <si>
    <t>实木多层板+白色+皮革</t>
  </si>
  <si>
    <t>卫生间03移门门套线</t>
  </si>
  <si>
    <t>藏品室</t>
  </si>
  <si>
    <t>两侧造型木饰面</t>
  </si>
  <si>
    <t>不含 布料.树脂.夹丝玻璃.柜内金属.金属花</t>
  </si>
  <si>
    <r>
      <rPr>
        <sz val="9"/>
        <rFont val="宋体"/>
        <charset val="134"/>
      </rPr>
      <t>卫生间0</t>
    </r>
    <r>
      <rPr>
        <sz val="9"/>
        <rFont val="宋体"/>
        <charset val="134"/>
      </rPr>
      <t>3</t>
    </r>
  </si>
  <si>
    <t>实木多层板+深色</t>
  </si>
  <si>
    <t>实木多层板+深色+实木线条玫瑰金做旧</t>
  </si>
  <si>
    <t>镜框</t>
  </si>
  <si>
    <t>实木多层板+深色+实木线条玫瑰金做旧+5MM银镜</t>
  </si>
  <si>
    <t>更衣间</t>
  </si>
  <si>
    <t>卫生间移门门套线</t>
  </si>
  <si>
    <t>卫生间04</t>
  </si>
  <si>
    <t>卫生间02</t>
  </si>
  <si>
    <t>卫生间02单开门门套线</t>
  </si>
  <si>
    <t>不含门控 五金</t>
  </si>
  <si>
    <t>实木多层板+白色+5银镜</t>
  </si>
  <si>
    <t>不含金属</t>
  </si>
  <si>
    <t>往采光井单开门门套线</t>
  </si>
  <si>
    <t>4里面</t>
  </si>
  <si>
    <t>往车库单开门门套线</t>
  </si>
  <si>
    <t>二层</t>
  </si>
  <si>
    <t>主卧</t>
  </si>
  <si>
    <t>主卧单开门门套线</t>
  </si>
  <si>
    <t>衣帽间门套线</t>
  </si>
  <si>
    <t>皮硬包木饰面</t>
  </si>
  <si>
    <t>实木多层板+皮包</t>
  </si>
  <si>
    <t>不含皮料</t>
  </si>
  <si>
    <t>卫生间</t>
  </si>
  <si>
    <t>男孩房</t>
  </si>
  <si>
    <t>单开门门套线</t>
  </si>
  <si>
    <t>女孩房</t>
  </si>
  <si>
    <t>主卧更衣室</t>
  </si>
  <si>
    <r>
      <rPr>
        <sz val="9"/>
        <rFont val="宋体"/>
        <charset val="134"/>
      </rPr>
      <t>卫生间0</t>
    </r>
    <r>
      <rPr>
        <sz val="9"/>
        <rFont val="宋体"/>
        <charset val="134"/>
      </rPr>
      <t>5</t>
    </r>
  </si>
  <si>
    <t>卫生间06</t>
  </si>
  <si>
    <t>圆形镜框</t>
  </si>
  <si>
    <t>女孩房衣帽间</t>
  </si>
  <si>
    <t>其他地脚线</t>
  </si>
  <si>
    <t>走廊</t>
  </si>
  <si>
    <t>门厅门套线</t>
  </si>
  <si>
    <t>注：以上分析表仅供参考，具体以图纸及投标清单为准。</t>
  </si>
  <si>
    <t>五金要求</t>
  </si>
  <si>
    <t>中间酒柜拉手</t>
  </si>
  <si>
    <t>AH-05</t>
  </si>
  <si>
    <t>缓冲门铰</t>
  </si>
  <si>
    <t>德国海蒂诗带缓冲</t>
  </si>
  <si>
    <t>LED灯带带铝槽</t>
  </si>
  <si>
    <t>海福乐品牌</t>
  </si>
  <si>
    <t>插座连变压器</t>
  </si>
  <si>
    <r>
      <rPr>
        <sz val="9"/>
        <rFont val="宋体"/>
        <charset val="134"/>
      </rPr>
      <t>海福乐品牌9</t>
    </r>
    <r>
      <rPr>
        <sz val="9"/>
        <rFont val="宋体"/>
        <charset val="134"/>
      </rPr>
      <t>0</t>
    </r>
    <r>
      <rPr>
        <sz val="9"/>
        <rFont val="宋体"/>
        <charset val="134"/>
      </rPr>
      <t>W</t>
    </r>
  </si>
  <si>
    <t>套</t>
  </si>
  <si>
    <t>灯带光度调节器</t>
  </si>
  <si>
    <t>感应开关</t>
  </si>
  <si>
    <t>门碰开关</t>
  </si>
  <si>
    <t>左柜LED灯带带铝槽</t>
  </si>
  <si>
    <t>右柜LED灯带带铝槽</t>
  </si>
  <si>
    <t>双向阻尼吊轮   (房门）</t>
  </si>
  <si>
    <t>海福乐品牌(940.82.115)</t>
  </si>
  <si>
    <t>付</t>
  </si>
  <si>
    <t>移门滑轨            （衣柜、房门）</t>
  </si>
  <si>
    <t>海福乐品牌940.43.924</t>
  </si>
  <si>
    <t>磁碰吸</t>
  </si>
  <si>
    <t>日本LAMP蓝普</t>
  </si>
  <si>
    <t>两侧高柜缓冲门铰</t>
  </si>
  <si>
    <t>撑铰</t>
  </si>
  <si>
    <t>德国百隆品牌</t>
  </si>
  <si>
    <t>拉手</t>
  </si>
  <si>
    <t>AH-02</t>
  </si>
  <si>
    <t>地柜拉手</t>
  </si>
  <si>
    <t>吊柜吊柜拉手</t>
  </si>
  <si>
    <t>调较脚</t>
  </si>
  <si>
    <t>公司常规款</t>
  </si>
  <si>
    <t>吊柜拉手</t>
  </si>
  <si>
    <t>左侧高柜地柜拉手</t>
  </si>
  <si>
    <t>左高柜缓冲门铰</t>
  </si>
  <si>
    <t>藏品室移门双向阻尼吊轮   (房门）</t>
  </si>
  <si>
    <t>金属拉手</t>
  </si>
  <si>
    <t>缓冲路轨</t>
  </si>
  <si>
    <t>德国海蒂诗自动回弹</t>
  </si>
  <si>
    <t>不锈钢衣通</t>
  </si>
  <si>
    <t>304#</t>
  </si>
  <si>
    <t>不锈钢衣通托</t>
  </si>
  <si>
    <t>CH-02</t>
  </si>
  <si>
    <t>铝合金拉手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</si>
</sst>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177" formatCode="0.E+00"/>
    <numFmt numFmtId="178" formatCode="0E+00"/>
    <numFmt numFmtId="179" formatCode="0.00_);[Red]\(0.00\)"/>
    <numFmt numFmtId="180" formatCode="_ \¥* #,##0.00_ ;_ \¥* \-#,##0.00_ ;_ \¥* &quot;-&quot;??_ ;_ @_ "/>
    <numFmt numFmtId="181" formatCode="0.00_ "/>
    <numFmt numFmtId="182" formatCode="#,##0_);[Red]\(#,##0\)"/>
  </numFmts>
  <fonts count="27"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9"/>
      <color rgb="FFFF0000"/>
      <name val="宋体"/>
      <charset val="134"/>
    </font>
    <font>
      <b/>
      <sz val="9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2"/>
      <name val="新細明體"/>
      <family val="1"/>
    </font>
    <font>
      <sz val="12"/>
      <name val="Times New Roman"/>
      <family val="1"/>
    </font>
    <font>
      <sz val="12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2052"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14" fillId="0" borderId="1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6" fillId="0" borderId="0">
      <alignment vertical="center"/>
    </xf>
    <xf numFmtId="0" fontId="14" fillId="0" borderId="15" applyNumberFormat="0" applyFill="0" applyAlignment="0" applyProtection="0">
      <alignment vertical="center"/>
    </xf>
    <xf numFmtId="0" fontId="26" fillId="0" borderId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 applyFont="0" applyFill="0" applyBorder="0" applyAlignment="0" applyProtection="0">
      <alignment vertical="center"/>
    </xf>
    <xf numFmtId="180" fontId="26" fillId="0" borderId="0">
      <protection locked="0"/>
    </xf>
    <xf numFmtId="180" fontId="26" fillId="0" borderId="0">
      <protection locked="0"/>
    </xf>
    <xf numFmtId="180" fontId="26" fillId="0" borderId="0" applyFont="0" applyFill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8" fillId="11" borderId="10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  <xf numFmtId="0" fontId="26" fillId="15" borderId="13" applyNumberFormat="0" applyFont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9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542" applyFont="1" applyFill="1" applyBorder="1" applyAlignment="1">
      <alignment horizontal="center" vertical="center" wrapText="1"/>
    </xf>
    <xf numFmtId="0" fontId="2" fillId="0" borderId="1" xfId="1542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 wrapText="1"/>
    </xf>
    <xf numFmtId="179" fontId="2" fillId="0" borderId="1" xfId="1542" applyNumberFormat="1" applyFont="1" applyFill="1" applyBorder="1" applyAlignment="1">
      <alignment horizontal="center" vertical="center"/>
    </xf>
    <xf numFmtId="0" fontId="1" fillId="0" borderId="0" xfId="1542" applyFont="1" applyFill="1" applyBorder="1" applyAlignment="1">
      <alignment horizontal="center" vertical="center"/>
    </xf>
    <xf numFmtId="0" fontId="1" fillId="0" borderId="0" xfId="150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6" fillId="0" borderId="0" xfId="1542" applyNumberFormat="1" applyFont="1" applyFill="1" applyBorder="1" applyAlignment="1">
      <alignment horizontal="left" vertical="center"/>
    </xf>
    <xf numFmtId="0" fontId="0" fillId="0" borderId="0" xfId="0" applyFont="1">
      <alignment vertical="center"/>
    </xf>
    <xf numFmtId="179" fontId="0" fillId="0" borderId="0" xfId="0" applyNumberFormat="1" applyFont="1">
      <alignment vertical="center"/>
    </xf>
    <xf numFmtId="181" fontId="2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/>
    <xf numFmtId="177" fontId="0" fillId="0" borderId="0" xfId="2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182" fontId="4" fillId="0" borderId="0" xfId="0" applyNumberFormat="1" applyFont="1" applyBorder="1" applyAlignment="1">
      <alignment vertical="center"/>
    </xf>
    <xf numFmtId="9" fontId="4" fillId="0" borderId="0" xfId="0" applyNumberFormat="1" applyFont="1" applyFill="1" applyBorder="1" applyAlignment="1">
      <alignment vertical="center"/>
    </xf>
    <xf numFmtId="0" fontId="0" fillId="0" borderId="0" xfId="0" applyBorder="1" applyAlignment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177" fontId="2" fillId="3" borderId="5" xfId="20" applyNumberFormat="1" applyFont="1" applyFill="1" applyBorder="1" applyAlignment="1">
      <alignment horizontal="center" vertical="center" wrapText="1"/>
    </xf>
    <xf numFmtId="177" fontId="2" fillId="3" borderId="6" xfId="2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20" applyNumberFormat="1" applyFont="1" applyFill="1" applyBorder="1" applyAlignment="1">
      <alignment horizontal="center" vertical="center" wrapText="1"/>
    </xf>
    <xf numFmtId="177" fontId="2" fillId="0" borderId="2" xfId="20" applyNumberFormat="1" applyFont="1" applyFill="1" applyBorder="1" applyAlignment="1">
      <alignment horizontal="center" vertical="center" wrapText="1"/>
    </xf>
    <xf numFmtId="177" fontId="2" fillId="0" borderId="3" xfId="20" applyNumberFormat="1" applyFont="1" applyFill="1" applyBorder="1" applyAlignment="1">
      <alignment horizontal="center" vertical="center" wrapText="1"/>
    </xf>
    <xf numFmtId="177" fontId="2" fillId="0" borderId="4" xfId="20" applyNumberFormat="1" applyFont="1" applyFill="1" applyBorder="1" applyAlignment="1">
      <alignment horizontal="center" vertical="center" wrapText="1"/>
    </xf>
    <xf numFmtId="177" fontId="2" fillId="0" borderId="7" xfId="20" applyNumberFormat="1" applyFont="1" applyFill="1" applyBorder="1" applyAlignment="1">
      <alignment horizontal="center" vertical="center" wrapText="1"/>
    </xf>
    <xf numFmtId="177" fontId="2" fillId="0" borderId="8" xfId="20" applyNumberFormat="1" applyFont="1" applyFill="1" applyBorder="1" applyAlignment="1">
      <alignment horizontal="center" vertical="center" wrapText="1"/>
    </xf>
    <xf numFmtId="177" fontId="2" fillId="0" borderId="9" xfId="20" applyNumberFormat="1" applyFont="1" applyFill="1" applyBorder="1" applyAlignment="1">
      <alignment horizontal="center" vertical="center" wrapText="1"/>
    </xf>
    <xf numFmtId="177" fontId="2" fillId="0" borderId="1" xfId="2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1" fontId="2" fillId="0" borderId="2" xfId="0" applyNumberFormat="1" applyFont="1" applyFill="1" applyBorder="1" applyAlignment="1">
      <alignment horizontal="center" vertical="center"/>
    </xf>
    <xf numFmtId="11" fontId="2" fillId="0" borderId="3" xfId="0" applyNumberFormat="1" applyFont="1" applyFill="1" applyBorder="1" applyAlignment="1">
      <alignment horizontal="center" vertical="center"/>
    </xf>
    <xf numFmtId="11" fontId="2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 wrapText="1"/>
    </xf>
    <xf numFmtId="178" fontId="2" fillId="0" borderId="3" xfId="0" applyNumberFormat="1" applyFont="1" applyFill="1" applyBorder="1" applyAlignment="1">
      <alignment horizontal="center" vertical="center" wrapText="1"/>
    </xf>
    <xf numFmtId="178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2052">
    <cellStyle name="20% - 强调文字颜色 1 2" xfId="2"/>
    <cellStyle name="20% - 强调文字颜色 1 2 2" xfId="88"/>
    <cellStyle name="20% - 强调文字颜色 1 2 2 2" xfId="79"/>
    <cellStyle name="20% - 强调文字颜色 1 2 2 2 2" xfId="90"/>
    <cellStyle name="20% - 强调文字颜色 1 2 2 2 2 2" xfId="82"/>
    <cellStyle name="20% - 强调文字颜色 1 2 2 2 3" xfId="94"/>
    <cellStyle name="20% - 强调文字颜色 1 2 2 3" xfId="80"/>
    <cellStyle name="20% - 强调文字颜色 1 2 3" xfId="81"/>
    <cellStyle name="20% - 强调文字颜色 1 2 3 2" xfId="83"/>
    <cellStyle name="20% - 强调文字颜色 1 2 3 2 2" xfId="84"/>
    <cellStyle name="20% - 强调文字颜色 1 2 3 2 2 2" xfId="95"/>
    <cellStyle name="20% - 强调文字颜色 1 2 3 2 2 2 2" xfId="97"/>
    <cellStyle name="20% - 强调文字颜色 1 2 3 2 2 3" xfId="87"/>
    <cellStyle name="20% - 强调文字颜色 1 2 3 2 3" xfId="10"/>
    <cellStyle name="20% - 强调文字颜色 1 2 3 3" xfId="99"/>
    <cellStyle name="20% - 强调文字颜色 1 2 3 3 2" xfId="101"/>
    <cellStyle name="20% - 强调文字颜色 1 2 3 3 2 2" xfId="13"/>
    <cellStyle name="20% - 强调文字颜色 1 2 3 3 3" xfId="102"/>
    <cellStyle name="20% - 强调文字颜色 1 2 3 4" xfId="105"/>
    <cellStyle name="20% - 强调文字颜色 1 2 4" xfId="106"/>
    <cellStyle name="20% - 强调文字颜色 1 2 4 2" xfId="107"/>
    <cellStyle name="20% - 强调文字颜色 1 2 4 2 2" xfId="108"/>
    <cellStyle name="20% - 强调文字颜色 1 2 4 3" xfId="109"/>
    <cellStyle name="20% - 强调文字颜色 1 2 5" xfId="110"/>
    <cellStyle name="20% - 强调文字颜色 1 3" xfId="112"/>
    <cellStyle name="20% - 强调文字颜色 1 3 2" xfId="114"/>
    <cellStyle name="20% - 强调文字颜色 1 3 2 2" xfId="116"/>
    <cellStyle name="20% - 强调文字颜色 1 3 2 2 2" xfId="104"/>
    <cellStyle name="20% - 强调文字颜色 1 3 2 2 2 2" xfId="117"/>
    <cellStyle name="20% - 强调文字颜色 1 3 2 2 3" xfId="118"/>
    <cellStyle name="20% - 强调文字颜色 1 3 2 3" xfId="120"/>
    <cellStyle name="20% - 强调文字颜色 1 3 3" xfId="122"/>
    <cellStyle name="20% - 强调文字颜色 1 3 3 2" xfId="123"/>
    <cellStyle name="20% - 强调文字颜色 1 3 3 2 2" xfId="128"/>
    <cellStyle name="20% - 强调文字颜色 1 3 3 2 2 2" xfId="129"/>
    <cellStyle name="20% - 强调文字颜色 1 3 3 2 2 2 2" xfId="130"/>
    <cellStyle name="20% - 强调文字颜色 1 3 3 2 2 3" xfId="135"/>
    <cellStyle name="20% - 强调文字颜色 1 3 3 2 3" xfId="136"/>
    <cellStyle name="20% - 强调文字颜色 1 3 3 3" xfId="137"/>
    <cellStyle name="20% - 强调文字颜色 1 3 3 3 2" xfId="138"/>
    <cellStyle name="20% - 强调文字颜色 1 3 3 3 2 2" xfId="139"/>
    <cellStyle name="20% - 强调文字颜色 1 3 3 3 3" xfId="140"/>
    <cellStyle name="20% - 强调文字颜色 1 3 3 4" xfId="126"/>
    <cellStyle name="20% - 强调文字颜色 1 3 4" xfId="142"/>
    <cellStyle name="20% - 强调文字颜色 1 3 4 2" xfId="144"/>
    <cellStyle name="20% - 强调文字颜色 1 3 4 2 2" xfId="150"/>
    <cellStyle name="20% - 强调文字颜色 1 3 4 3" xfId="41"/>
    <cellStyle name="20% - 强调文字颜色 1 3 5" xfId="151"/>
    <cellStyle name="20% - 强调文字颜色 1 4" xfId="153"/>
    <cellStyle name="20% - 强调文字颜色 1 4 2" xfId="155"/>
    <cellStyle name="20% - 强调文字颜色 1 4 2 2" xfId="157"/>
    <cellStyle name="20% - 强调文字颜色 1 4 2 2 2" xfId="160"/>
    <cellStyle name="20% - 强调文字颜色 1 4 2 2 2 2" xfId="165"/>
    <cellStyle name="20% - 强调文字颜色 1 4 2 2 3" xfId="167"/>
    <cellStyle name="20% - 强调文字颜色 1 4 2 3" xfId="168"/>
    <cellStyle name="20% - 强调文字颜色 1 4 3" xfId="45"/>
    <cellStyle name="20% - 强调文字颜色 1 4 3 2" xfId="169"/>
    <cellStyle name="20% - 强调文字颜色 1 4 3 2 2" xfId="174"/>
    <cellStyle name="20% - 强调文字颜色 1 4 3 2 2 2" xfId="176"/>
    <cellStyle name="20% - 强调文字颜色 1 4 3 2 2 2 2" xfId="177"/>
    <cellStyle name="20% - 强调文字颜色 1 4 3 2 2 3" xfId="181"/>
    <cellStyle name="20% - 强调文字颜色 1 4 3 2 3" xfId="161"/>
    <cellStyle name="20% - 强调文字颜色 1 4 3 3" xfId="184"/>
    <cellStyle name="20% - 强调文字颜色 1 4 3 3 2" xfId="58"/>
    <cellStyle name="20% - 强调文字颜色 1 4 3 3 2 2" xfId="185"/>
    <cellStyle name="20% - 强调文字颜色 1 4 3 3 3" xfId="46"/>
    <cellStyle name="20% - 强调文字颜色 1 4 3 4" xfId="148"/>
    <cellStyle name="20% - 强调文字颜色 1 4 4" xfId="186"/>
    <cellStyle name="20% - 强调文字颜色 1 4 4 2" xfId="62"/>
    <cellStyle name="20% - 强调文字颜色 1 4 4 2 2" xfId="192"/>
    <cellStyle name="20% - 强调文字颜色 1 4 4 3" xfId="67"/>
    <cellStyle name="20% - 强调文字颜色 1 4 5" xfId="194"/>
    <cellStyle name="20% - 强调文字颜色 2 2" xfId="197"/>
    <cellStyle name="20% - 强调文字颜色 2 2 2" xfId="200"/>
    <cellStyle name="20% - 强调文字颜色 2 2 2 2" xfId="201"/>
    <cellStyle name="20% - 强调文字颜色 2 2 2 2 2" xfId="202"/>
    <cellStyle name="20% - 强调文字颜色 2 2 2 2 2 2" xfId="203"/>
    <cellStyle name="20% - 强调文字颜色 2 2 2 2 3" xfId="206"/>
    <cellStyle name="20% - 强调文字颜色 2 2 2 3" xfId="207"/>
    <cellStyle name="20% - 强调文字颜色 2 2 3" xfId="208"/>
    <cellStyle name="20% - 强调文字颜色 2 2 3 2" xfId="209"/>
    <cellStyle name="20% - 强调文字颜色 2 2 3 2 2" xfId="210"/>
    <cellStyle name="20% - 强调文字颜色 2 2 3 2 2 2" xfId="16"/>
    <cellStyle name="20% - 强调文字颜色 2 2 3 2 2 2 2" xfId="212"/>
    <cellStyle name="20% - 强调文字颜色 2 2 3 2 2 3" xfId="213"/>
    <cellStyle name="20% - 强调文字颜色 2 2 3 2 3" xfId="214"/>
    <cellStyle name="20% - 强调文字颜色 2 2 3 3" xfId="215"/>
    <cellStyle name="20% - 强调文字颜色 2 2 3 3 2" xfId="217"/>
    <cellStyle name="20% - 强调文字颜色 2 2 3 3 2 2" xfId="218"/>
    <cellStyle name="20% - 强调文字颜色 2 2 3 3 3" xfId="219"/>
    <cellStyle name="20% - 强调文字颜色 2 2 3 4" xfId="158"/>
    <cellStyle name="20% - 强调文字颜色 2 2 4" xfId="223"/>
    <cellStyle name="20% - 强调文字颜色 2 2 4 2" xfId="226"/>
    <cellStyle name="20% - 强调文字颜色 2 2 4 2 2" xfId="227"/>
    <cellStyle name="20% - 强调文字颜色 2 2 4 3" xfId="228"/>
    <cellStyle name="20% - 强调文字颜色 2 2 5" xfId="229"/>
    <cellStyle name="20% - 强调文字颜色 2 3" xfId="237"/>
    <cellStyle name="20% - 强调文字颜色 2 3 2" xfId="240"/>
    <cellStyle name="20% - 强调文字颜色 2 3 2 2" xfId="242"/>
    <cellStyle name="20% - 强调文字颜色 2 3 2 2 2" xfId="31"/>
    <cellStyle name="20% - 强调文字颜色 2 3 2 2 2 2" xfId="244"/>
    <cellStyle name="20% - 强调文字颜色 2 3 2 2 3" xfId="34"/>
    <cellStyle name="20% - 强调文字颜色 2 3 2 3" xfId="245"/>
    <cellStyle name="20% - 强调文字颜色 2 3 3" xfId="247"/>
    <cellStyle name="20% - 强调文字颜色 2 3 3 2" xfId="248"/>
    <cellStyle name="20% - 强调文字颜色 2 3 3 2 2" xfId="250"/>
    <cellStyle name="20% - 强调文字颜色 2 3 3 2 2 2" xfId="252"/>
    <cellStyle name="20% - 强调文字颜色 2 3 3 2 2 2 2" xfId="254"/>
    <cellStyle name="20% - 强调文字颜色 2 3 3 2 2 3" xfId="257"/>
    <cellStyle name="20% - 强调文字颜色 2 3 3 2 3" xfId="259"/>
    <cellStyle name="20% - 强调文字颜色 2 3 3 3" xfId="260"/>
    <cellStyle name="20% - 强调文字颜色 2 3 3 3 2" xfId="50"/>
    <cellStyle name="20% - 强调文字颜色 2 3 3 3 2 2" xfId="262"/>
    <cellStyle name="20% - 强调文字颜色 2 3 3 3 3" xfId="264"/>
    <cellStyle name="20% - 强调文字颜色 2 3 3 4" xfId="172"/>
    <cellStyle name="20% - 强调文字颜色 2 3 4" xfId="266"/>
    <cellStyle name="20% - 强调文字颜色 2 3 4 2" xfId="267"/>
    <cellStyle name="20% - 强调文字颜色 2 3 4 2 2" xfId="85"/>
    <cellStyle name="20% - 强调文字颜色 2 3 4 3" xfId="268"/>
    <cellStyle name="20% - 强调文字颜色 2 3 5" xfId="269"/>
    <cellStyle name="20% - 强调文字颜色 2 4" xfId="273"/>
    <cellStyle name="20% - 强调文字颜色 2 4 2" xfId="40"/>
    <cellStyle name="20% - 强调文字颜色 2 4 2 2" xfId="66"/>
    <cellStyle name="20% - 强调文字颜色 2 4 2 2 2" xfId="196"/>
    <cellStyle name="20% - 强调文字颜色 2 4 2 2 2 2" xfId="199"/>
    <cellStyle name="20% - 强调文字颜色 2 4 2 2 3" xfId="235"/>
    <cellStyle name="20% - 强调文字颜色 2 4 2 3" xfId="4"/>
    <cellStyle name="20% - 强调文字颜色 2 4 3" xfId="275"/>
    <cellStyle name="20% - 强调文字颜色 2 4 3 2" xfId="276"/>
    <cellStyle name="20% - 强调文字颜色 2 4 3 2 2" xfId="278"/>
    <cellStyle name="20% - 强调文字颜色 2 4 3 2 2 2" xfId="279"/>
    <cellStyle name="20% - 强调文字颜色 2 4 3 2 2 2 2" xfId="280"/>
    <cellStyle name="20% - 强调文字颜色 2 4 3 2 2 3" xfId="283"/>
    <cellStyle name="20% - 强调文字颜色 2 4 3 2 3" xfId="284"/>
    <cellStyle name="20% - 强调文字颜色 2 4 3 3" xfId="286"/>
    <cellStyle name="20% - 强调文字颜色 2 4 3 3 2" xfId="288"/>
    <cellStyle name="20% - 强调文字颜色 2 4 3 3 2 2" xfId="289"/>
    <cellStyle name="20% - 强调文字颜色 2 4 3 3 3" xfId="290"/>
    <cellStyle name="20% - 强调文字颜色 2 4 3 4" xfId="191"/>
    <cellStyle name="20% - 强调文字颜色 2 4 4" xfId="291"/>
    <cellStyle name="20% - 强调文字颜色 2 4 4 2" xfId="292"/>
    <cellStyle name="20% - 强调文字颜色 2 4 4 2 2" xfId="293"/>
    <cellStyle name="20% - 强调文字颜色 2 4 4 3" xfId="89"/>
    <cellStyle name="20% - 强调文字颜色 2 4 5" xfId="294"/>
    <cellStyle name="20% - 强调文字颜色 3 2" xfId="295"/>
    <cellStyle name="20% - 强调文字颜色 3 2 2" xfId="297"/>
    <cellStyle name="20% - 强调文字颜色 3 2 2 2" xfId="298"/>
    <cellStyle name="20% - 强调文字颜色 3 2 2 2 2" xfId="299"/>
    <cellStyle name="20% - 强调文字颜色 3 2 2 2 2 2" xfId="300"/>
    <cellStyle name="20% - 强调文字颜色 3 2 2 2 3" xfId="301"/>
    <cellStyle name="20% - 强调文字颜色 3 2 2 3" xfId="302"/>
    <cellStyle name="20% - 强调文字颜色 3 2 3" xfId="305"/>
    <cellStyle name="20% - 强调文字颜色 3 2 3 2" xfId="308"/>
    <cellStyle name="20% - 强调文字颜色 3 2 3 2 2" xfId="309"/>
    <cellStyle name="20% - 强调文字颜色 3 2 3 2 2 2" xfId="310"/>
    <cellStyle name="20% - 强调文字颜色 3 2 3 2 2 2 2" xfId="311"/>
    <cellStyle name="20% - 强调文字颜色 3 2 3 2 2 3" xfId="312"/>
    <cellStyle name="20% - 强调文字颜色 3 2 3 2 3" xfId="315"/>
    <cellStyle name="20% - 强调文字颜色 3 2 3 3" xfId="7"/>
    <cellStyle name="20% - 强调文字颜色 3 2 3 3 2" xfId="316"/>
    <cellStyle name="20% - 强调文字颜色 3 2 3 3 2 2" xfId="320"/>
    <cellStyle name="20% - 强调文字颜色 3 2 3 3 3" xfId="324"/>
    <cellStyle name="20% - 强调文字颜色 3 2 3 4" xfId="325"/>
    <cellStyle name="20% - 强调文字颜色 3 2 4" xfId="330"/>
    <cellStyle name="20% - 强调文字颜色 3 2 4 2" xfId="331"/>
    <cellStyle name="20% - 强调文字颜色 3 2 4 2 2" xfId="332"/>
    <cellStyle name="20% - 强调文字颜色 3 2 4 3" xfId="334"/>
    <cellStyle name="20% - 强调文字颜色 3 2 5" xfId="335"/>
    <cellStyle name="20% - 强调文字颜色 3 3" xfId="53"/>
    <cellStyle name="20% - 强调文字颜色 3 3 2" xfId="77"/>
    <cellStyle name="20% - 强调文字颜色 3 3 2 2" xfId="339"/>
    <cellStyle name="20% - 强调文字颜色 3 3 2 2 2" xfId="343"/>
    <cellStyle name="20% - 强调文字颜色 3 3 2 2 2 2" xfId="345"/>
    <cellStyle name="20% - 强调文字颜色 3 3 2 2 3" xfId="347"/>
    <cellStyle name="20% - 强调文字颜色 3 3 2 3" xfId="351"/>
    <cellStyle name="20% - 强调文字颜色 3 3 3" xfId="353"/>
    <cellStyle name="20% - 强调文字颜色 3 3 3 2" xfId="354"/>
    <cellStyle name="20% - 强调文字颜色 3 3 3 2 2" xfId="355"/>
    <cellStyle name="20% - 强调文字颜色 3 3 3 2 2 2" xfId="357"/>
    <cellStyle name="20% - 强调文字颜色 3 3 3 2 2 2 2" xfId="75"/>
    <cellStyle name="20% - 强调文字颜色 3 3 3 2 2 3" xfId="359"/>
    <cellStyle name="20% - 强调文字颜色 3 3 3 2 3" xfId="360"/>
    <cellStyle name="20% - 强调文字颜色 3 3 3 3" xfId="361"/>
    <cellStyle name="20% - 强调文字颜色 3 3 3 3 2" xfId="362"/>
    <cellStyle name="20% - 强调文字颜色 3 3 3 3 2 2" xfId="366"/>
    <cellStyle name="20% - 强调文字颜色 3 3 3 3 3" xfId="367"/>
    <cellStyle name="20% - 强调文字颜色 3 3 3 4" xfId="368"/>
    <cellStyle name="20% - 强调文字颜色 3 3 4" xfId="369"/>
    <cellStyle name="20% - 强调文字颜色 3 3 4 2" xfId="371"/>
    <cellStyle name="20% - 强调文字颜色 3 3 4 2 2" xfId="132"/>
    <cellStyle name="20% - 强调文字颜色 3 3 4 3" xfId="373"/>
    <cellStyle name="20% - 强调文字颜色 3 3 5" xfId="375"/>
    <cellStyle name="20% - 强调文字颜色 3 4" xfId="379"/>
    <cellStyle name="20% - 强调文字颜色 3 4 2" xfId="382"/>
    <cellStyle name="20% - 强调文字颜色 3 4 2 2" xfId="205"/>
    <cellStyle name="20% - 强调文字颜色 3 4 2 2 2" xfId="383"/>
    <cellStyle name="20% - 强调文字颜色 3 4 2 2 2 2" xfId="385"/>
    <cellStyle name="20% - 强调文字颜色 3 4 2 2 3" xfId="386"/>
    <cellStyle name="20% - 强调文字颜色 3 4 2 3" xfId="388"/>
    <cellStyle name="20% - 强调文字颜色 3 4 3" xfId="390"/>
    <cellStyle name="20% - 强调文字颜色 3 4 3 2" xfId="391"/>
    <cellStyle name="20% - 强调文字颜色 3 4 3 2 2" xfId="393"/>
    <cellStyle name="20% - 强调文字颜色 3 4 3 2 2 2" xfId="222"/>
    <cellStyle name="20% - 强调文字颜色 3 4 3 2 2 2 2" xfId="225"/>
    <cellStyle name="20% - 强调文字颜色 3 4 3 2 2 3" xfId="232"/>
    <cellStyle name="20% - 强调文字颜色 3 4 3 2 3" xfId="395"/>
    <cellStyle name="20% - 强调文字颜色 3 4 3 3" xfId="396"/>
    <cellStyle name="20% - 强调文字颜色 3 4 3 3 2" xfId="397"/>
    <cellStyle name="20% - 强调文字颜色 3 4 3 3 2 2" xfId="329"/>
    <cellStyle name="20% - 强调文字颜色 3 4 3 3 3" xfId="401"/>
    <cellStyle name="20% - 强调文字颜色 3 4 3 4" xfId="402"/>
    <cellStyle name="20% - 强调文字颜色 3 4 4" xfId="403"/>
    <cellStyle name="20% - 强调文字颜色 3 4 4 2" xfId="405"/>
    <cellStyle name="20% - 强调文字颜色 3 4 4 2 2" xfId="407"/>
    <cellStyle name="20% - 强调文字颜色 3 4 4 3" xfId="409"/>
    <cellStyle name="20% - 强调文字颜色 3 4 5" xfId="412"/>
    <cellStyle name="20% - 强调文字颜色 4 2" xfId="416"/>
    <cellStyle name="20% - 强调文字颜色 4 2 2" xfId="398"/>
    <cellStyle name="20% - 强调文字颜色 4 2 2 2" xfId="370"/>
    <cellStyle name="20% - 强调文字颜色 4 2 2 2 2" xfId="372"/>
    <cellStyle name="20% - 强调文字颜色 4 2 2 2 2 2" xfId="133"/>
    <cellStyle name="20% - 强调文字颜色 4 2 2 2 3" xfId="374"/>
    <cellStyle name="20% - 强调文字颜色 4 2 2 3" xfId="376"/>
    <cellStyle name="20% - 强调文字颜色 4 2 3" xfId="417"/>
    <cellStyle name="20% - 强调文字颜色 4 2 3 2" xfId="404"/>
    <cellStyle name="20% - 强调文字颜色 4 2 3 2 2" xfId="406"/>
    <cellStyle name="20% - 强调文字颜色 4 2 3 2 2 2" xfId="408"/>
    <cellStyle name="20% - 强调文字颜色 4 2 3 2 2 2 2" xfId="419"/>
    <cellStyle name="20% - 强调文字颜色 4 2 3 2 2 3" xfId="420"/>
    <cellStyle name="20% - 强调文字颜色 4 2 3 2 3" xfId="410"/>
    <cellStyle name="20% - 强调文字颜色 4 2 3 3" xfId="413"/>
    <cellStyle name="20% - 强调文字颜色 4 2 3 3 2" xfId="421"/>
    <cellStyle name="20% - 强调文字颜色 4 2 3 3 2 2" xfId="141"/>
    <cellStyle name="20% - 强调文字颜色 4 2 3 3 3" xfId="319"/>
    <cellStyle name="20% - 强调文字颜色 4 2 3 4" xfId="422"/>
    <cellStyle name="20% - 强调文字颜色 4 2 4" xfId="423"/>
    <cellStyle name="20% - 强调文字颜色 4 2 4 2" xfId="424"/>
    <cellStyle name="20% - 强调文字颜色 4 2 4 2 2" xfId="425"/>
    <cellStyle name="20% - 强调文字颜色 4 2 4 3" xfId="12"/>
    <cellStyle name="20% - 强调文字颜色 4 2 5" xfId="426"/>
    <cellStyle name="20% - 强调文字颜色 4 3" xfId="429"/>
    <cellStyle name="20% - 强调文字颜色 4 3 2" xfId="432"/>
    <cellStyle name="20% - 强调文字颜色 4 3 2 2" xfId="434"/>
    <cellStyle name="20% - 强调文字颜色 4 3 2 2 2" xfId="436"/>
    <cellStyle name="20% - 强调文字颜色 4 3 2 2 2 2" xfId="178"/>
    <cellStyle name="20% - 强调文字颜色 4 3 2 2 3" xfId="24"/>
    <cellStyle name="20% - 强调文字颜色 4 3 2 3" xfId="438"/>
    <cellStyle name="20% - 强调文字颜色 4 3 3" xfId="441"/>
    <cellStyle name="20% - 强调文字颜色 4 3 3 2" xfId="442"/>
    <cellStyle name="20% - 强调文字颜色 4 3 3 2 2" xfId="444"/>
    <cellStyle name="20% - 强调文字颜色 4 3 3 2 2 2" xfId="447"/>
    <cellStyle name="20% - 强调文字颜色 4 3 3 2 2 2 2" xfId="450"/>
    <cellStyle name="20% - 强调文字颜色 4 3 3 2 2 3" xfId="452"/>
    <cellStyle name="20% - 强调文字颜色 4 3 3 2 3" xfId="453"/>
    <cellStyle name="20% - 强调文字颜色 4 3 3 3" xfId="455"/>
    <cellStyle name="20% - 强调文字颜色 4 3 3 3 2" xfId="457"/>
    <cellStyle name="20% - 强调文字颜色 4 3 3 3 2 2" xfId="98"/>
    <cellStyle name="20% - 强调文字颜色 4 3 3 3 3" xfId="458"/>
    <cellStyle name="20% - 强调文字颜色 4 3 3 4" xfId="344"/>
    <cellStyle name="20% - 强调文字颜色 4 3 4" xfId="435"/>
    <cellStyle name="20% - 强调文字颜色 4 3 4 2" xfId="437"/>
    <cellStyle name="20% - 强调文字颜色 4 3 4 2 2" xfId="179"/>
    <cellStyle name="20% - 强调文字颜色 4 3 4 3" xfId="25"/>
    <cellStyle name="20% - 强调文字颜色 4 3 5" xfId="439"/>
    <cellStyle name="20% - 强调文字颜色 4 4" xfId="461"/>
    <cellStyle name="20% - 强调文字颜色 4 4 2" xfId="28"/>
    <cellStyle name="20% - 强调文字颜色 4 4 2 2" xfId="32"/>
    <cellStyle name="20% - 强调文字颜色 4 4 2 2 2" xfId="462"/>
    <cellStyle name="20% - 强调文字颜色 4 4 2 2 2 2" xfId="464"/>
    <cellStyle name="20% - 强调文字颜色 4 4 2 2 3" xfId="466"/>
    <cellStyle name="20% - 强调文字颜色 4 4 2 3" xfId="36"/>
    <cellStyle name="20% - 强调文字颜色 4 4 3" xfId="468"/>
    <cellStyle name="20% - 强调文字颜色 4 4 3 2" xfId="469"/>
    <cellStyle name="20% - 强调文字颜色 4 4 3 2 2" xfId="427"/>
    <cellStyle name="20% - 强调文字颜色 4 4 3 2 2 2" xfId="430"/>
    <cellStyle name="20% - 强调文字颜色 4 4 3 2 2 2 2" xfId="433"/>
    <cellStyle name="20% - 强调文字颜色 4 4 3 2 2 3" xfId="440"/>
    <cellStyle name="20% - 强调文字颜色 4 4 3 2 3" xfId="459"/>
    <cellStyle name="20% - 强调文字颜色 4 4 3 3" xfId="471"/>
    <cellStyle name="20% - 强调文字颜色 4 4 3 3 2" xfId="474"/>
    <cellStyle name="20% - 强调文字颜色 4 4 3 3 2 2" xfId="476"/>
    <cellStyle name="20% - 强调文字颜色 4 4 3 3 3" xfId="478"/>
    <cellStyle name="20% - 强调文字颜色 4 4 3 4" xfId="480"/>
    <cellStyle name="20% - 强调文字颜色 4 4 4" xfId="443"/>
    <cellStyle name="20% - 强调文字颜色 4 4 4 2" xfId="445"/>
    <cellStyle name="20% - 强调文字颜色 4 4 4 2 2" xfId="448"/>
    <cellStyle name="20% - 强调文字颜色 4 4 4 3" xfId="454"/>
    <cellStyle name="20% - 强调文字颜色 4 4 5" xfId="456"/>
    <cellStyle name="20% - 强调文字颜色 5 2" xfId="482"/>
    <cellStyle name="20% - 强调文字颜色 5 2 2" xfId="483"/>
    <cellStyle name="20% - 强调文字颜色 5 2 2 2" xfId="484"/>
    <cellStyle name="20% - 强调文字颜色 5 2 2 2 2" xfId="486"/>
    <cellStyle name="20% - 强调文字颜色 5 2 2 2 2 2" xfId="256"/>
    <cellStyle name="20% - 强调文字颜色 5 2 2 2 3" xfId="487"/>
    <cellStyle name="20% - 强调文字颜色 5 2 2 3" xfId="489"/>
    <cellStyle name="20% - 强调文字颜色 5 2 3" xfId="490"/>
    <cellStyle name="20% - 强调文字颜色 5 2 3 2" xfId="491"/>
    <cellStyle name="20% - 强调文字颜色 5 2 3 2 2" xfId="271"/>
    <cellStyle name="20% - 强调文字颜色 5 2 3 2 2 2" xfId="39"/>
    <cellStyle name="20% - 强调文字颜色 5 2 3 2 2 2 2" xfId="64"/>
    <cellStyle name="20% - 强调文字颜色 5 2 3 2 2 3" xfId="274"/>
    <cellStyle name="20% - 强调文字颜色 5 2 3 2 3" xfId="492"/>
    <cellStyle name="20% - 强调文字颜色 5 2 3 3" xfId="35"/>
    <cellStyle name="20% - 强调文字颜色 5 2 3 3 2" xfId="378"/>
    <cellStyle name="20% - 强调文字颜色 5 2 3 3 2 2" xfId="381"/>
    <cellStyle name="20% - 强调文字颜色 5 2 3 3 3" xfId="365"/>
    <cellStyle name="20% - 强调文字颜色 5 2 3 4" xfId="23"/>
    <cellStyle name="20% - 强调文字颜色 5 2 4" xfId="493"/>
    <cellStyle name="20% - 强调文字颜色 5 2 4 2" xfId="496"/>
    <cellStyle name="20% - 强调文字颜色 5 2 4 2 2" xfId="497"/>
    <cellStyle name="20% - 强调文字颜色 5 2 4 3" xfId="498"/>
    <cellStyle name="20% - 强调文字颜色 5 2 5" xfId="499"/>
    <cellStyle name="20% - 强调文字颜色 5 3" xfId="473"/>
    <cellStyle name="20% - 强调文字颜色 5 3 2" xfId="475"/>
    <cellStyle name="20% - 强调文字颜色 5 3 2 2" xfId="501"/>
    <cellStyle name="20% - 强调文字颜色 5 3 2 2 2" xfId="503"/>
    <cellStyle name="20% - 强调文字颜色 5 3 2 2 2 2" xfId="281"/>
    <cellStyle name="20% - 强调文字颜色 5 3 2 2 3" xfId="131"/>
    <cellStyle name="20% - 强调文字颜色 5 3 2 3" xfId="485"/>
    <cellStyle name="20% - 强调文字颜色 5 3 3" xfId="30"/>
    <cellStyle name="20% - 强调文字颜色 5 3 3 2" xfId="243"/>
    <cellStyle name="20% - 强调文字颜色 5 3 3 2 2" xfId="505"/>
    <cellStyle name="20% - 强调文字颜色 5 3 3 2 2 2" xfId="506"/>
    <cellStyle name="20% - 强调文字颜色 5 3 3 2 2 2 2" xfId="507"/>
    <cellStyle name="20% - 强调文字颜色 5 3 3 2 2 3" xfId="143"/>
    <cellStyle name="20% - 强调文字颜色 5 3 3 2 3" xfId="508"/>
    <cellStyle name="20% - 强调文字颜色 5 3 3 3" xfId="509"/>
    <cellStyle name="20% - 强调文字颜色 5 3 3 3 2" xfId="511"/>
    <cellStyle name="20% - 强调文字颜色 5 3 3 3 2 2" xfId="93"/>
    <cellStyle name="20% - 强调文字颜色 5 3 3 3 3" xfId="513"/>
    <cellStyle name="20% - 强调文字颜色 5 3 3 4" xfId="356"/>
    <cellStyle name="20% - 强调文字颜色 5 3 4" xfId="33"/>
    <cellStyle name="20% - 强调文字颜色 5 3 4 2" xfId="463"/>
    <cellStyle name="20% - 强调文字颜色 5 3 4 2 2" xfId="465"/>
    <cellStyle name="20% - 强调文字颜色 5 3 4 3" xfId="467"/>
    <cellStyle name="20% - 强调文字颜色 5 3 5" xfId="37"/>
    <cellStyle name="20% - 强调文字颜色 5 4" xfId="477"/>
    <cellStyle name="20% - 强调文字颜色 5 4 2" xfId="514"/>
    <cellStyle name="20% - 强调文字颜色 5 4 2 2" xfId="233"/>
    <cellStyle name="20% - 强调文字颜色 5 4 2 2 2" xfId="238"/>
    <cellStyle name="20% - 强调文字颜色 5 4 2 2 2 2" xfId="241"/>
    <cellStyle name="20% - 强调文字颜色 5 4 2 2 3" xfId="246"/>
    <cellStyle name="20% - 强调文字颜色 5 4 2 3" xfId="270"/>
    <cellStyle name="20% - 强调文字颜色 5 4 3" xfId="515"/>
    <cellStyle name="20% - 强调文字颜色 5 4 3 2" xfId="52"/>
    <cellStyle name="20% - 强调文字颜色 5 4 3 2 2" xfId="76"/>
    <cellStyle name="20% - 强调文字颜色 5 4 3 2 2 2" xfId="338"/>
    <cellStyle name="20% - 强调文字颜色 5 4 3 2 2 2 2" xfId="342"/>
    <cellStyle name="20% - 强调文字颜色 5 4 3 2 2 3" xfId="350"/>
    <cellStyle name="20% - 强调文字颜色 5 4 3 2 3" xfId="352"/>
    <cellStyle name="20% - 强调文字颜色 5 4 3 3" xfId="377"/>
    <cellStyle name="20% - 强调文字颜色 5 4 3 3 2" xfId="380"/>
    <cellStyle name="20% - 强调文字颜色 5 4 3 3 2 2" xfId="204"/>
    <cellStyle name="20% - 强调文字颜色 5 4 3 3 3" xfId="389"/>
    <cellStyle name="20% - 强调文字颜色 5 4 3 4" xfId="363"/>
    <cellStyle name="20% - 强调文字颜色 5 4 4" xfId="470"/>
    <cellStyle name="20% - 强调文字颜色 5 4 4 2" xfId="428"/>
    <cellStyle name="20% - 强调文字颜色 5 4 4 2 2" xfId="431"/>
    <cellStyle name="20% - 强调文字颜色 5 4 4 3" xfId="460"/>
    <cellStyle name="20% - 强调文字颜色 5 4 5" xfId="472"/>
    <cellStyle name="20% - 强调文字颜色 6 2" xfId="516"/>
    <cellStyle name="20% - 强调文字颜色 6 2 2" xfId="193"/>
    <cellStyle name="20% - 强调文字颜色 6 2 2 2" xfId="517"/>
    <cellStyle name="20% - 强调文字颜色 6 2 2 2 2" xfId="519"/>
    <cellStyle name="20% - 强调文字颜色 6 2 2 2 2 2" xfId="358"/>
    <cellStyle name="20% - 强调文字颜色 6 2 2 2 3" xfId="520"/>
    <cellStyle name="20% - 强调文字颜色 6 2 2 3" xfId="522"/>
    <cellStyle name="20% - 强调文字颜色 6 2 3" xfId="523"/>
    <cellStyle name="20% - 强调文字颜色 6 2 3 2" xfId="313"/>
    <cellStyle name="20% - 强调文字颜色 6 2 3 2 2" xfId="524"/>
    <cellStyle name="20% - 强调文字颜色 6 2 3 2 2 2" xfId="525"/>
    <cellStyle name="20% - 强调文字颜色 6 2 3 2 2 2 2" xfId="526"/>
    <cellStyle name="20% - 强调文字颜色 6 2 3 2 2 3" xfId="528"/>
    <cellStyle name="20% - 强调文字颜色 6 2 3 2 3" xfId="529"/>
    <cellStyle name="20% - 强调文字颜色 6 2 3 3" xfId="530"/>
    <cellStyle name="20% - 强调文字颜色 6 2 3 3 2" xfId="304"/>
    <cellStyle name="20% - 强调文字颜色 6 2 3 3 2 2" xfId="307"/>
    <cellStyle name="20% - 强调文字颜色 6 2 3 3 3" xfId="327"/>
    <cellStyle name="20% - 强调文字颜色 6 2 3 4" xfId="531"/>
    <cellStyle name="20% - 强调文字颜色 6 2 4" xfId="533"/>
    <cellStyle name="20% - 强调文字颜色 6 2 4 2" xfId="322"/>
    <cellStyle name="20% - 强调文字颜色 6 2 4 2 2" xfId="534"/>
    <cellStyle name="20% - 强调文字颜色 6 2 4 3" xfId="535"/>
    <cellStyle name="20% - 强调文字颜色 6 2 5" xfId="495"/>
    <cellStyle name="20% - 强调文字颜色 6 3" xfId="536"/>
    <cellStyle name="20% - 强调文字颜色 6 3 2" xfId="537"/>
    <cellStyle name="20% - 强调文字颜色 6 3 2 2" xfId="538"/>
    <cellStyle name="20% - 强调文字颜色 6 3 2 2 2" xfId="18"/>
    <cellStyle name="20% - 强调文字颜色 6 3 2 2 2 2" xfId="230"/>
    <cellStyle name="20% - 强调文字颜色 6 3 2 2 3" xfId="539"/>
    <cellStyle name="20% - 强调文字颜色 6 3 2 3" xfId="502"/>
    <cellStyle name="20% - 强调文字颜色 6 3 3" xfId="249"/>
    <cellStyle name="20% - 强调文字颜色 6 3 3 2" xfId="251"/>
    <cellStyle name="20% - 强调文字颜色 6 3 3 2 2" xfId="253"/>
    <cellStyle name="20% - 强调文字颜色 6 3 3 2 2 2" xfId="540"/>
    <cellStyle name="20% - 强调文字颜色 6 3 3 2 2 2 2" xfId="411"/>
    <cellStyle name="20% - 强调文字颜色 6 3 3 2 2 3" xfId="100"/>
    <cellStyle name="20% - 强调文字颜色 6 3 3 2 3" xfId="542"/>
    <cellStyle name="20% - 强调文字颜色 6 3 3 3" xfId="255"/>
    <cellStyle name="20% - 强调文字颜色 6 3 3 3 2" xfId="544"/>
    <cellStyle name="20% - 强调文字颜色 6 3 3 3 2 2" xfId="545"/>
    <cellStyle name="20% - 强调文字颜色 6 3 3 3 3" xfId="547"/>
    <cellStyle name="20% - 强调文字颜色 6 3 3 4" xfId="548"/>
    <cellStyle name="20% - 强调文字颜色 6 3 4" xfId="258"/>
    <cellStyle name="20% - 强调文字颜色 6 3 4 2" xfId="549"/>
    <cellStyle name="20% - 强调文字颜色 6 3 4 2 2" xfId="550"/>
    <cellStyle name="20% - 强调文字颜色 6 3 4 3" xfId="551"/>
    <cellStyle name="20% - 强调文字颜色 6 3 5" xfId="48"/>
    <cellStyle name="20% - 强调文字颜色 6 4" xfId="554"/>
    <cellStyle name="20% - 强调文字颜色 6 4 2" xfId="556"/>
    <cellStyle name="20% - 强调文字颜色 6 4 2 2" xfId="21"/>
    <cellStyle name="20% - 强调文字颜色 6 4 2 2 2" xfId="557"/>
    <cellStyle name="20% - 强调文字颜色 6 4 2 2 2 2" xfId="558"/>
    <cellStyle name="20% - 强调文字颜色 6 4 2 2 3" xfId="124"/>
    <cellStyle name="20% - 强调文字颜色 6 4 2 3" xfId="504"/>
    <cellStyle name="20% - 强调文字颜色 6 4 3" xfId="49"/>
    <cellStyle name="20% - 强调文字颜色 6 4 3 2" xfId="261"/>
    <cellStyle name="20% - 强调文字颜色 6 4 3 2 2" xfId="559"/>
    <cellStyle name="20% - 强调文字颜色 6 4 3 2 2 2" xfId="560"/>
    <cellStyle name="20% - 强调文字颜色 6 4 3 2 2 2 2" xfId="561"/>
    <cellStyle name="20% - 强调文字颜色 6 4 3 2 2 3" xfId="216"/>
    <cellStyle name="20% - 强调文字颜色 6 4 3 2 3" xfId="170"/>
    <cellStyle name="20% - 强调文字颜色 6 4 3 3" xfId="510"/>
    <cellStyle name="20% - 强调文字颜色 6 4 3 3 2" xfId="92"/>
    <cellStyle name="20% - 强调文字颜色 6 4 3 3 2 2" xfId="69"/>
    <cellStyle name="20% - 强调文字颜色 6 4 3 3 3" xfId="63"/>
    <cellStyle name="20% - 强调文字颜色 6 4 3 4" xfId="512"/>
    <cellStyle name="20% - 强调文字颜色 6 4 4" xfId="263"/>
    <cellStyle name="20% - 强调文字颜色 6 4 4 2" xfId="38"/>
    <cellStyle name="20% - 强调文字颜色 6 4 4 2 2" xfId="553"/>
    <cellStyle name="20% - 强调文字颜色 6 4 4 3" xfId="74"/>
    <cellStyle name="20% - 强调文字颜色 6 4 5" xfId="562"/>
    <cellStyle name="40% - 强调文字颜色 1 2" xfId="188"/>
    <cellStyle name="40% - 强调文字颜色 1 2 2" xfId="563"/>
    <cellStyle name="40% - 强调文字颜色 1 2 2 2" xfId="564"/>
    <cellStyle name="40% - 强调文字颜色 1 2 2 2 2" xfId="183"/>
    <cellStyle name="40% - 强调文字颜色 1 2 2 2 2 2" xfId="57"/>
    <cellStyle name="40% - 强调文字颜色 1 2 2 2 3" xfId="145"/>
    <cellStyle name="40% - 强调文字颜色 1 2 2 3" xfId="565"/>
    <cellStyle name="40% - 强调文字颜色 1 2 3" xfId="446"/>
    <cellStyle name="40% - 强调文字颜色 1 2 3 2" xfId="449"/>
    <cellStyle name="40% - 强调文字颜色 1 2 3 2 2" xfId="566"/>
    <cellStyle name="40% - 强调文字颜色 1 2 3 2 2 2" xfId="568"/>
    <cellStyle name="40% - 强调文字颜色 1 2 3 2 2 2 2" xfId="569"/>
    <cellStyle name="40% - 强调文字颜色 1 2 3 2 2 3" xfId="570"/>
    <cellStyle name="40% - 强调文字颜色 1 2 3 2 3" xfId="571"/>
    <cellStyle name="40% - 强调文字颜色 1 2 3 3" xfId="572"/>
    <cellStyle name="40% - 强调文字颜色 1 2 3 3 2" xfId="573"/>
    <cellStyle name="40% - 强调文字颜色 1 2 3 3 2 2" xfId="19"/>
    <cellStyle name="40% - 强调文字颜色 1 2 3 3 3" xfId="574"/>
    <cellStyle name="40% - 强调文字颜色 1 2 3 4" xfId="500"/>
    <cellStyle name="40% - 强调文字颜色 1 2 4" xfId="451"/>
    <cellStyle name="40% - 强调文字颜色 1 2 4 2" xfId="8"/>
    <cellStyle name="40% - 强调文字颜色 1 2 4 2 2" xfId="346"/>
    <cellStyle name="40% - 强调文字颜色 1 2 4 3" xfId="575"/>
    <cellStyle name="40% - 强调文字颜色 1 2 5" xfId="576"/>
    <cellStyle name="40% - 强调文字颜色 1 3" xfId="577"/>
    <cellStyle name="40% - 强调文字颜色 1 3 2" xfId="578"/>
    <cellStyle name="40% - 强调文字颜色 1 3 2 2" xfId="579"/>
    <cellStyle name="40% - 强调文字颜色 1 3 2 2 2" xfId="285"/>
    <cellStyle name="40% - 强调文字颜色 1 3 2 2 2 2" xfId="287"/>
    <cellStyle name="40% - 强调文字颜色 1 3 2 2 3" xfId="187"/>
    <cellStyle name="40% - 强调文字颜色 1 3 2 3" xfId="1"/>
    <cellStyle name="40% - 强调文字颜色 1 3 3" xfId="580"/>
    <cellStyle name="40% - 强调文字颜色 1 3 3 2" xfId="581"/>
    <cellStyle name="40% - 强调文字颜色 1 3 3 2 2" xfId="582"/>
    <cellStyle name="40% - 强调文字颜色 1 3 3 2 2 2" xfId="583"/>
    <cellStyle name="40% - 强调文字颜色 1 3 3 2 2 2 2" xfId="61"/>
    <cellStyle name="40% - 强调文字颜色 1 3 3 2 2 3" xfId="586"/>
    <cellStyle name="40% - 强调文字颜色 1 3 3 2 3" xfId="518"/>
    <cellStyle name="40% - 强调文字颜色 1 3 3 3" xfId="587"/>
    <cellStyle name="40% - 强调文字颜色 1 3 3 3 2" xfId="588"/>
    <cellStyle name="40% - 强调文字颜色 1 3 3 3 2 2" xfId="589"/>
    <cellStyle name="40% - 强调文字颜色 1 3 3 3 3" xfId="590"/>
    <cellStyle name="40% - 强调文字颜色 1 3 3 4" xfId="591"/>
    <cellStyle name="40% - 强调文字颜色 1 3 4" xfId="592"/>
    <cellStyle name="40% - 强调文字颜色 1 3 4 2" xfId="593"/>
    <cellStyle name="40% - 强调文字颜色 1 3 4 2 2" xfId="594"/>
    <cellStyle name="40% - 强调文字颜色 1 3 4 3" xfId="595"/>
    <cellStyle name="40% - 强调文字颜色 1 3 5" xfId="596"/>
    <cellStyle name="40% - 强调文字颜色 1 4" xfId="598"/>
    <cellStyle name="40% - 强调文字颜色 1 4 2" xfId="600"/>
    <cellStyle name="40% - 强调文字颜色 1 4 2 2" xfId="601"/>
    <cellStyle name="40% - 强调文字颜色 1 4 2 2 2" xfId="602"/>
    <cellStyle name="40% - 强调文字颜色 1 4 2 2 2 2" xfId="603"/>
    <cellStyle name="40% - 强调文字颜色 1 4 2 2 3" xfId="604"/>
    <cellStyle name="40% - 强调文字颜色 1 4 2 3" xfId="605"/>
    <cellStyle name="40% - 强调文字颜色 1 4 3" xfId="606"/>
    <cellStyle name="40% - 强调文字颜色 1 4 3 2" xfId="607"/>
    <cellStyle name="40% - 强调文字颜色 1 4 3 2 2" xfId="608"/>
    <cellStyle name="40% - 强调文字颜色 1 4 3 2 2 2" xfId="609"/>
    <cellStyle name="40% - 强调文字颜色 1 4 3 2 2 2 2" xfId="610"/>
    <cellStyle name="40% - 强调文字颜色 1 4 3 2 2 3" xfId="611"/>
    <cellStyle name="40% - 强调文字颜色 1 4 3 2 3" xfId="17"/>
    <cellStyle name="40% - 强调文字颜色 1 4 3 3" xfId="612"/>
    <cellStyle name="40% - 强调文字颜色 1 4 3 3 2" xfId="613"/>
    <cellStyle name="40% - 强调文字颜色 1 4 3 3 2 2" xfId="614"/>
    <cellStyle name="40% - 强调文字颜色 1 4 3 3 3" xfId="615"/>
    <cellStyle name="40% - 强调文字颜色 1 4 3 4" xfId="616"/>
    <cellStyle name="40% - 强调文字颜色 1 4 4" xfId="618"/>
    <cellStyle name="40% - 强调文字颜色 1 4 4 2" xfId="619"/>
    <cellStyle name="40% - 强调文字颜色 1 4 4 2 2" xfId="620"/>
    <cellStyle name="40% - 强调文字颜色 1 4 4 3" xfId="621"/>
    <cellStyle name="40% - 强调文字颜色 1 4 5" xfId="622"/>
    <cellStyle name="40% - 强调文字颜色 2 2" xfId="623"/>
    <cellStyle name="40% - 强调文字颜色 2 2 2" xfId="624"/>
    <cellStyle name="40% - 强调文字颜色 2 2 2 2" xfId="625"/>
    <cellStyle name="40% - 强调文字颜色 2 2 2 2 2" xfId="626"/>
    <cellStyle name="40% - 强调文字颜色 2 2 2 2 2 2" xfId="627"/>
    <cellStyle name="40% - 强调文字颜色 2 2 2 2 3" xfId="628"/>
    <cellStyle name="40% - 强调文字颜色 2 2 2 3" xfId="629"/>
    <cellStyle name="40% - 强调文字颜色 2 2 3" xfId="630"/>
    <cellStyle name="40% - 强调文字颜色 2 2 3 2" xfId="631"/>
    <cellStyle name="40% - 强调文字颜色 2 2 3 2 2" xfId="11"/>
    <cellStyle name="40% - 强调文字颜色 2 2 3 2 2 2" xfId="632"/>
    <cellStyle name="40% - 强调文字颜色 2 2 3 2 2 2 2" xfId="634"/>
    <cellStyle name="40% - 强调文字颜色 2 2 3 2 2 3" xfId="635"/>
    <cellStyle name="40% - 强调文字颜色 2 2 3 2 3" xfId="637"/>
    <cellStyle name="40% - 强调文字颜色 2 2 3 3" xfId="638"/>
    <cellStyle name="40% - 强调文字颜色 2 2 3 3 2" xfId="639"/>
    <cellStyle name="40% - 强调文字颜色 2 2 3 3 2 2" xfId="640"/>
    <cellStyle name="40% - 强调文字颜色 2 2 3 3 3" xfId="642"/>
    <cellStyle name="40% - 强调文字颜色 2 2 3 4" xfId="643"/>
    <cellStyle name="40% - 强调文字颜色 2 2 4" xfId="644"/>
    <cellStyle name="40% - 强调文字颜色 2 2 4 2" xfId="645"/>
    <cellStyle name="40% - 强调文字颜色 2 2 4 2 2" xfId="27"/>
    <cellStyle name="40% - 强调文字颜色 2 2 4 3" xfId="647"/>
    <cellStyle name="40% - 强调文字颜色 2 2 5" xfId="648"/>
    <cellStyle name="40% - 强调文字颜色 2 3" xfId="649"/>
    <cellStyle name="40% - 强调文字颜色 2 3 2" xfId="650"/>
    <cellStyle name="40% - 强调文字颜色 2 3 2 2" xfId="651"/>
    <cellStyle name="40% - 强调文字颜色 2 3 2 2 2" xfId="652"/>
    <cellStyle name="40% - 强调文字颜色 2 3 2 2 2 2" xfId="655"/>
    <cellStyle name="40% - 强调文字颜色 2 3 2 2 3" xfId="656"/>
    <cellStyle name="40% - 强调文字颜色 2 3 2 3" xfId="658"/>
    <cellStyle name="40% - 强调文字颜色 2 3 3" xfId="659"/>
    <cellStyle name="40% - 强调文字颜色 2 3 3 2" xfId="660"/>
    <cellStyle name="40% - 强调文字颜色 2 3 3 2 2" xfId="661"/>
    <cellStyle name="40% - 强调文字颜色 2 3 3 2 2 2" xfId="663"/>
    <cellStyle name="40% - 强调文字颜色 2 3 3 2 2 2 2" xfId="664"/>
    <cellStyle name="40% - 强调文字颜色 2 3 3 2 2 3" xfId="665"/>
    <cellStyle name="40% - 强调文字颜色 2 3 3 2 3" xfId="666"/>
    <cellStyle name="40% - 强调文字颜色 2 3 3 3" xfId="667"/>
    <cellStyle name="40% - 强调文字颜色 2 3 3 3 2" xfId="668"/>
    <cellStyle name="40% - 强调文字颜色 2 3 3 3 2 2" xfId="669"/>
    <cellStyle name="40% - 强调文字颜色 2 3 3 3 3" xfId="671"/>
    <cellStyle name="40% - 强调文字颜色 2 3 3 4" xfId="673"/>
    <cellStyle name="40% - 强调文字颜色 2 3 4" xfId="674"/>
    <cellStyle name="40% - 强调文字颜色 2 3 4 2" xfId="675"/>
    <cellStyle name="40% - 强调文字颜色 2 3 4 2 2" xfId="676"/>
    <cellStyle name="40% - 强调文字颜色 2 3 4 3" xfId="677"/>
    <cellStyle name="40% - 强调文字颜色 2 3 5" xfId="678"/>
    <cellStyle name="40% - 强调文字颜色 2 4" xfId="679"/>
    <cellStyle name="40% - 强调文字颜色 2 4 2" xfId="680"/>
    <cellStyle name="40% - 强调文字颜色 2 4 2 2" xfId="682"/>
    <cellStyle name="40% - 强调文字颜色 2 4 2 2 2" xfId="683"/>
    <cellStyle name="40% - 强调文字颜色 2 4 2 2 2 2" xfId="684"/>
    <cellStyle name="40% - 强调文字颜色 2 4 2 2 3" xfId="685"/>
    <cellStyle name="40% - 强调文字颜色 2 4 2 3" xfId="686"/>
    <cellStyle name="40% - 强调文字颜色 2 4 3" xfId="687"/>
    <cellStyle name="40% - 强调文字颜色 2 4 3 2" xfId="688"/>
    <cellStyle name="40% - 强调文字颜色 2 4 3 2 2" xfId="689"/>
    <cellStyle name="40% - 强调文字颜色 2 4 3 2 2 2" xfId="690"/>
    <cellStyle name="40% - 强调文字颜色 2 4 3 2 2 2 2" xfId="691"/>
    <cellStyle name="40% - 强调文字颜色 2 4 3 2 2 3" xfId="692"/>
    <cellStyle name="40% - 强调文字颜色 2 4 3 2 3" xfId="693"/>
    <cellStyle name="40% - 强调文字颜色 2 4 3 3" xfId="694"/>
    <cellStyle name="40% - 强调文字颜色 2 4 3 3 2" xfId="695"/>
    <cellStyle name="40% - 强调文字颜色 2 4 3 3 2 2" xfId="696"/>
    <cellStyle name="40% - 强调文字颜色 2 4 3 3 3" xfId="697"/>
    <cellStyle name="40% - 强调文字颜色 2 4 3 4" xfId="698"/>
    <cellStyle name="40% - 强调文字颜色 2 4 4" xfId="699"/>
    <cellStyle name="40% - 强调文字颜色 2 4 4 2" xfId="700"/>
    <cellStyle name="40% - 强调文字颜色 2 4 4 2 2" xfId="701"/>
    <cellStyle name="40% - 强调文字颜色 2 4 4 3" xfId="702"/>
    <cellStyle name="40% - 强调文字颜色 2 4 5" xfId="703"/>
    <cellStyle name="40% - 强调文字颜色 3 2" xfId="705"/>
    <cellStyle name="40% - 强调文字颜色 3 2 2" xfId="707"/>
    <cellStyle name="40% - 强调文字颜色 3 2 2 2" xfId="709"/>
    <cellStyle name="40% - 强调文字颜色 3 2 2 2 2" xfId="711"/>
    <cellStyle name="40% - 强调文字颜色 3 2 2 2 2 2" xfId="713"/>
    <cellStyle name="40% - 强调文字颜色 3 2 2 2 3" xfId="715"/>
    <cellStyle name="40% - 强调文字颜色 3 2 2 3" xfId="716"/>
    <cellStyle name="40% - 强调文字颜色 3 2 3" xfId="719"/>
    <cellStyle name="40% - 强调文字颜色 3 2 3 2" xfId="720"/>
    <cellStyle name="40% - 强调文字颜色 3 2 3 2 2" xfId="722"/>
    <cellStyle name="40% - 强调文字颜色 3 2 3 2 2 2" xfId="725"/>
    <cellStyle name="40% - 强调文字颜色 3 2 3 2 2 2 2" xfId="727"/>
    <cellStyle name="40% - 强调文字颜色 3 2 3 2 2 3" xfId="730"/>
    <cellStyle name="40% - 强调文字颜色 3 2 3 2 3" xfId="732"/>
    <cellStyle name="40% - 强调文字颜色 3 2 3 3" xfId="733"/>
    <cellStyle name="40% - 强调文字颜色 3 2 3 3 2" xfId="734"/>
    <cellStyle name="40% - 强调文字颜色 3 2 3 3 2 2" xfId="736"/>
    <cellStyle name="40% - 强调文字颜色 3 2 3 3 3" xfId="737"/>
    <cellStyle name="40% - 强调文字颜色 3 2 3 4" xfId="96"/>
    <cellStyle name="40% - 强调文字颜色 3 2 4" xfId="738"/>
    <cellStyle name="40% - 强调文字颜色 3 2 4 2" xfId="739"/>
    <cellStyle name="40% - 强调文字颜色 3 2 4 2 2" xfId="741"/>
    <cellStyle name="40% - 强调文字颜色 3 2 4 3" xfId="742"/>
    <cellStyle name="40% - 强调文字颜色 3 2 5" xfId="743"/>
    <cellStyle name="40% - 强调文字颜色 3 3" xfId="745"/>
    <cellStyle name="40% - 强调文字颜色 3 3 2" xfId="746"/>
    <cellStyle name="40% - 强调文字颜色 3 3 2 2" xfId="747"/>
    <cellStyle name="40% - 强调文字颜色 3 3 2 2 2" xfId="748"/>
    <cellStyle name="40% - 强调文字颜色 3 3 2 2 2 2" xfId="749"/>
    <cellStyle name="40% - 强调文字颜色 3 3 2 2 3" xfId="750"/>
    <cellStyle name="40% - 强调文字颜色 3 3 2 3" xfId="751"/>
    <cellStyle name="40% - 强调文字颜色 3 3 3" xfId="754"/>
    <cellStyle name="40% - 强调文字颜色 3 3 3 2" xfId="15"/>
    <cellStyle name="40% - 强调文字颜色 3 3 3 2 2" xfId="704"/>
    <cellStyle name="40% - 强调文字颜色 3 3 3 2 2 2" xfId="706"/>
    <cellStyle name="40% - 强调文字颜色 3 3 3 2 2 2 2" xfId="708"/>
    <cellStyle name="40% - 强调文字颜色 3 3 3 2 2 3" xfId="718"/>
    <cellStyle name="40% - 强调文字颜色 3 3 3 2 3" xfId="744"/>
    <cellStyle name="40% - 强调文字颜色 3 3 3 3" xfId="71"/>
    <cellStyle name="40% - 强调文字颜色 3 3 3 3 2" xfId="756"/>
    <cellStyle name="40% - 强调文字颜色 3 3 3 3 2 2" xfId="759"/>
    <cellStyle name="40% - 强调文字颜色 3 3 3 3 3" xfId="761"/>
    <cellStyle name="40% - 强调文字颜色 3 3 3 4" xfId="72"/>
    <cellStyle name="40% - 强调文字颜色 3 3 4" xfId="763"/>
    <cellStyle name="40% - 强调文字颜色 3 3 4 2" xfId="764"/>
    <cellStyle name="40% - 强调文字颜色 3 3 4 2 2" xfId="765"/>
    <cellStyle name="40% - 强调文字颜色 3 3 4 3" xfId="766"/>
    <cellStyle name="40% - 强调文字颜色 3 3 5" xfId="767"/>
    <cellStyle name="40% - 强调文字颜色 3 4" xfId="768"/>
    <cellStyle name="40% - 强调文字颜色 3 4 2" xfId="769"/>
    <cellStyle name="40% - 强调文字颜色 3 4 2 2" xfId="771"/>
    <cellStyle name="40% - 强调文字颜色 3 4 2 2 2" xfId="772"/>
    <cellStyle name="40% - 强调文字颜色 3 4 2 2 2 2" xfId="773"/>
    <cellStyle name="40% - 强调文字颜色 3 4 2 2 3" xfId="774"/>
    <cellStyle name="40% - 强调文字颜色 3 4 2 3" xfId="775"/>
    <cellStyle name="40% - 强调文字颜色 3 4 3" xfId="776"/>
    <cellStyle name="40% - 强调文字颜色 3 4 3 2" xfId="777"/>
    <cellStyle name="40% - 强调文字颜色 3 4 3 2 2" xfId="778"/>
    <cellStyle name="40% - 强调文字颜色 3 4 3 2 2 2" xfId="779"/>
    <cellStyle name="40% - 强调文字颜色 3 4 3 2 2 2 2" xfId="780"/>
    <cellStyle name="40% - 强调文字颜色 3 4 3 2 2 3" xfId="781"/>
    <cellStyle name="40% - 强调文字颜色 3 4 3 2 3" xfId="782"/>
    <cellStyle name="40% - 强调文字颜色 3 4 3 3" xfId="384"/>
    <cellStyle name="40% - 强调文字颜色 3 4 3 3 2" xfId="783"/>
    <cellStyle name="40% - 强调文字颜色 3 4 3 3 2 2" xfId="784"/>
    <cellStyle name="40% - 强调文字颜色 3 4 3 3 3" xfId="785"/>
    <cellStyle name="40% - 强调文字颜色 3 4 3 4" xfId="786"/>
    <cellStyle name="40% - 强调文字颜色 3 4 4" xfId="710"/>
    <cellStyle name="40% - 强调文字颜色 3 4 4 2" xfId="712"/>
    <cellStyle name="40% - 强调文字颜色 3 4 4 2 2" xfId="787"/>
    <cellStyle name="40% - 强调文字颜色 3 4 4 3" xfId="788"/>
    <cellStyle name="40% - 强调文字颜色 3 4 5" xfId="714"/>
    <cellStyle name="40% - 强调文字颜色 4 2" xfId="755"/>
    <cellStyle name="40% - 强调文字颜色 4 2 2" xfId="758"/>
    <cellStyle name="40% - 强调文字颜色 4 2 2 2" xfId="789"/>
    <cellStyle name="40% - 强调文字颜色 4 2 2 2 2" xfId="790"/>
    <cellStyle name="40% - 强调文字颜色 4 2 2 2 2 2" xfId="791"/>
    <cellStyle name="40% - 强调文字颜色 4 2 2 2 3" xfId="792"/>
    <cellStyle name="40% - 强调文字颜色 4 2 2 3" xfId="793"/>
    <cellStyle name="40% - 强调文字颜色 4 2 3" xfId="794"/>
    <cellStyle name="40% - 强调文字颜色 4 2 3 2" xfId="60"/>
    <cellStyle name="40% - 强调文字颜色 4 2 3 2 2" xfId="796"/>
    <cellStyle name="40% - 强调文字颜色 4 2 3 2 2 2" xfId="798"/>
    <cellStyle name="40% - 强调文字颜色 4 2 3 2 2 2 2" xfId="800"/>
    <cellStyle name="40% - 强调文字颜色 4 2 3 2 2 3" xfId="802"/>
    <cellStyle name="40% - 强调文字颜色 4 2 3 2 3" xfId="804"/>
    <cellStyle name="40% - 强调文字颜色 4 2 3 3" xfId="47"/>
    <cellStyle name="40% - 强调文字颜色 4 2 3 3 2" xfId="806"/>
    <cellStyle name="40% - 强调文字颜色 4 2 3 3 2 2" xfId="809"/>
    <cellStyle name="40% - 强调文字颜色 4 2 3 3 3" xfId="811"/>
    <cellStyle name="40% - 强调文字颜色 4 2 3 4" xfId="68"/>
    <cellStyle name="40% - 强调文字颜色 4 2 4" xfId="812"/>
    <cellStyle name="40% - 强调文字颜色 4 2 4 2" xfId="813"/>
    <cellStyle name="40% - 强调文字颜色 4 2 4 2 2" xfId="814"/>
    <cellStyle name="40% - 强调文字颜色 4 2 4 3" xfId="815"/>
    <cellStyle name="40% - 强调文字颜色 4 2 5" xfId="816"/>
    <cellStyle name="40% - 强调文字颜色 4 3" xfId="760"/>
    <cellStyle name="40% - 强调文字颜色 4 3 2" xfId="817"/>
    <cellStyle name="40% - 强调文字颜色 4 3 2 2" xfId="818"/>
    <cellStyle name="40% - 强调文字颜色 4 3 2 2 2" xfId="819"/>
    <cellStyle name="40% - 强调文字颜色 4 3 2 2 2 2" xfId="821"/>
    <cellStyle name="40% - 强调文字颜色 4 3 2 2 3" xfId="822"/>
    <cellStyle name="40% - 强调文字颜色 4 3 2 3" xfId="823"/>
    <cellStyle name="40% - 强调文字颜色 4 3 3" xfId="825"/>
    <cellStyle name="40% - 强调文字颜色 4 3 3 2" xfId="826"/>
    <cellStyle name="40% - 强调文字颜色 4 3 3 2 2" xfId="827"/>
    <cellStyle name="40% - 强调文字颜色 4 3 3 2 2 2" xfId="829"/>
    <cellStyle name="40% - 强调文字颜色 4 3 3 2 2 2 2" xfId="831"/>
    <cellStyle name="40% - 强调文字颜色 4 3 3 2 2 3" xfId="835"/>
    <cellStyle name="40% - 强调文字颜色 4 3 3 2 3" xfId="836"/>
    <cellStyle name="40% - 强调文字颜色 4 3 3 3" xfId="837"/>
    <cellStyle name="40% - 强调文字颜色 4 3 3 3 2" xfId="838"/>
    <cellStyle name="40% - 强调文字颜色 4 3 3 3 2 2" xfId="839"/>
    <cellStyle name="40% - 强调文字颜色 4 3 3 3 3" xfId="840"/>
    <cellStyle name="40% - 强调文字颜色 4 3 3 4" xfId="841"/>
    <cellStyle name="40% - 强调文字颜色 4 3 4" xfId="842"/>
    <cellStyle name="40% - 强调文字颜色 4 3 4 2" xfId="843"/>
    <cellStyle name="40% - 强调文字颜色 4 3 4 2 2" xfId="844"/>
    <cellStyle name="40% - 强调文字颜色 4 3 4 3" xfId="845"/>
    <cellStyle name="40% - 强调文字颜色 4 3 5" xfId="846"/>
    <cellStyle name="40% - 强调文字颜色 4 4" xfId="848"/>
    <cellStyle name="40% - 强调文字颜色 4 4 2" xfId="849"/>
    <cellStyle name="40% - 强调文字颜色 4 4 2 2" xfId="850"/>
    <cellStyle name="40% - 强调文字颜色 4 4 2 2 2" xfId="851"/>
    <cellStyle name="40% - 强调文字颜色 4 4 2 2 2 2" xfId="852"/>
    <cellStyle name="40% - 强调文字颜色 4 4 2 2 3" xfId="853"/>
    <cellStyle name="40% - 强调文字颜色 4 4 2 3" xfId="855"/>
    <cellStyle name="40% - 强调文字颜色 4 4 3" xfId="856"/>
    <cellStyle name="40% - 强调文字颜色 4 4 3 2" xfId="858"/>
    <cellStyle name="40% - 强调文字颜色 4 4 3 2 2" xfId="860"/>
    <cellStyle name="40% - 强调文字颜色 4 4 3 2 2 2" xfId="862"/>
    <cellStyle name="40% - 强调文字颜色 4 4 3 2 2 2 2" xfId="863"/>
    <cellStyle name="40% - 强调文字颜色 4 4 3 2 2 3" xfId="864"/>
    <cellStyle name="40% - 强调文字颜色 4 4 3 2 3" xfId="866"/>
    <cellStyle name="40% - 强调文字颜色 4 4 3 3" xfId="221"/>
    <cellStyle name="40% - 强调文字颜色 4 4 3 3 2" xfId="224"/>
    <cellStyle name="40% - 强调文字颜色 4 4 3 3 2 2" xfId="867"/>
    <cellStyle name="40% - 强调文字颜色 4 4 3 3 3" xfId="868"/>
    <cellStyle name="40% - 强调文字颜色 4 4 3 4" xfId="231"/>
    <cellStyle name="40% - 强调文字颜色 4 4 4" xfId="721"/>
    <cellStyle name="40% - 强调文字颜色 4 4 4 2" xfId="724"/>
    <cellStyle name="40% - 强调文字颜色 4 4 4 2 2" xfId="726"/>
    <cellStyle name="40% - 强调文字颜色 4 4 4 3" xfId="729"/>
    <cellStyle name="40% - 强调文字颜色 4 4 5" xfId="731"/>
    <cellStyle name="40% - 强调文字颜色 5 2" xfId="870"/>
    <cellStyle name="40% - 强调文字颜色 5 2 2" xfId="873"/>
    <cellStyle name="40% - 强调文字颜色 5 2 2 2" xfId="876"/>
    <cellStyle name="40% - 强调文字颜色 5 2 2 2 2" xfId="878"/>
    <cellStyle name="40% - 强调文字颜色 5 2 2 2 2 2" xfId="880"/>
    <cellStyle name="40% - 强调文字颜色 5 2 2 2 3" xfId="883"/>
    <cellStyle name="40% - 强调文字颜色 5 2 2 3" xfId="885"/>
    <cellStyle name="40% - 强调文字颜色 5 2 3" xfId="887"/>
    <cellStyle name="40% - 强调文字颜色 5 2 3 2" xfId="888"/>
    <cellStyle name="40% - 强调文字颜色 5 2 3 2 2" xfId="889"/>
    <cellStyle name="40% - 强调文字颜色 5 2 3 2 2 2" xfId="890"/>
    <cellStyle name="40% - 强调文字颜色 5 2 3 2 2 2 2" xfId="891"/>
    <cellStyle name="40% - 强调文字颜色 5 2 3 2 2 3" xfId="892"/>
    <cellStyle name="40% - 强调文字颜色 5 2 3 2 3" xfId="894"/>
    <cellStyle name="40% - 强调文字颜色 5 2 3 3" xfId="895"/>
    <cellStyle name="40% - 强调文字颜色 5 2 3 3 2" xfId="896"/>
    <cellStyle name="40% - 强调文字颜色 5 2 3 3 2 2" xfId="897"/>
    <cellStyle name="40% - 强调文字颜色 5 2 3 3 3" xfId="899"/>
    <cellStyle name="40% - 强调文字颜色 5 2 3 4" xfId="900"/>
    <cellStyle name="40% - 强调文字颜色 5 2 4" xfId="901"/>
    <cellStyle name="40% - 强调文字颜色 5 2 4 2" xfId="902"/>
    <cellStyle name="40% - 强调文字颜色 5 2 4 2 2" xfId="903"/>
    <cellStyle name="40% - 强调文字颜色 5 2 4 3" xfId="904"/>
    <cellStyle name="40% - 强调文字颜色 5 2 5" xfId="905"/>
    <cellStyle name="40% - 强调文字颜色 5 3" xfId="907"/>
    <cellStyle name="40% - 强调文字颜色 5 3 2" xfId="908"/>
    <cellStyle name="40% - 强调文字颜色 5 3 2 2" xfId="910"/>
    <cellStyle name="40% - 强调文字颜色 5 3 2 2 2" xfId="912"/>
    <cellStyle name="40% - 强调文字颜色 5 3 2 2 2 2" xfId="914"/>
    <cellStyle name="40% - 强调文字颜色 5 3 2 2 3" xfId="916"/>
    <cellStyle name="40% - 强调文字颜色 5 3 2 3" xfId="918"/>
    <cellStyle name="40% - 强调文字颜色 5 3 3" xfId="919"/>
    <cellStyle name="40% - 强调文字颜色 5 3 3 2" xfId="920"/>
    <cellStyle name="40% - 强调文字颜色 5 3 3 2 2" xfId="921"/>
    <cellStyle name="40% - 强调文字颜色 5 3 3 2 2 2" xfId="922"/>
    <cellStyle name="40% - 强调文字颜色 5 3 3 2 2 2 2" xfId="521"/>
    <cellStyle name="40% - 强调文字颜色 5 3 3 2 2 3" xfId="923"/>
    <cellStyle name="40% - 强调文字颜色 5 3 3 2 3" xfId="924"/>
    <cellStyle name="40% - 强调文字颜色 5 3 3 3" xfId="925"/>
    <cellStyle name="40% - 强调文字颜色 5 3 3 3 2" xfId="926"/>
    <cellStyle name="40% - 强调文字颜色 5 3 3 3 2 2" xfId="928"/>
    <cellStyle name="40% - 强调文字颜色 5 3 3 3 3" xfId="929"/>
    <cellStyle name="40% - 强调文字颜色 5 3 3 4" xfId="930"/>
    <cellStyle name="40% - 强调文字颜色 5 3 4" xfId="931"/>
    <cellStyle name="40% - 强调文字颜色 5 3 4 2" xfId="932"/>
    <cellStyle name="40% - 强调文字颜色 5 3 4 2 2" xfId="933"/>
    <cellStyle name="40% - 强调文字颜色 5 3 4 3" xfId="934"/>
    <cellStyle name="40% - 强调文字颜色 5 3 5" xfId="935"/>
    <cellStyle name="40% - 强调文字颜色 5 4" xfId="936"/>
    <cellStyle name="40% - 强调文字颜色 5 4 2" xfId="937"/>
    <cellStyle name="40% - 强调文字颜色 5 4 2 2" xfId="939"/>
    <cellStyle name="40% - 强调文字颜色 5 4 2 2 2" xfId="941"/>
    <cellStyle name="40% - 强调文字颜色 5 4 2 2 2 2" xfId="943"/>
    <cellStyle name="40% - 强调文字颜色 5 4 2 2 3" xfId="945"/>
    <cellStyle name="40% - 强调文字颜色 5 4 2 3" xfId="947"/>
    <cellStyle name="40% - 强调文字颜色 5 4 3" xfId="948"/>
    <cellStyle name="40% - 强调文字颜色 5 4 3 2" xfId="282"/>
    <cellStyle name="40% - 强调文字颜色 5 4 3 2 2" xfId="949"/>
    <cellStyle name="40% - 强调文字颜色 5 4 3 2 2 2" xfId="950"/>
    <cellStyle name="40% - 强调文字颜色 5 4 3 2 2 2 2" xfId="951"/>
    <cellStyle name="40% - 强调文字颜色 5 4 3 2 2 3" xfId="952"/>
    <cellStyle name="40% - 强调文字颜色 5 4 3 2 3" xfId="954"/>
    <cellStyle name="40% - 强调文字颜色 5 4 3 3" xfId="418"/>
    <cellStyle name="40% - 强调文字颜色 5 4 3 3 2" xfId="955"/>
    <cellStyle name="40% - 强调文字颜色 5 4 3 3 2 2" xfId="956"/>
    <cellStyle name="40% - 强调文字颜色 5 4 3 3 3" xfId="957"/>
    <cellStyle name="40% - 强调文字颜色 5 4 3 4" xfId="958"/>
    <cellStyle name="40% - 强调文字颜色 5 4 4" xfId="740"/>
    <cellStyle name="40% - 强调文字颜色 5 4 4 2" xfId="959"/>
    <cellStyle name="40% - 强调文字颜色 5 4 4 2 2" xfId="960"/>
    <cellStyle name="40% - 强调文字颜色 5 4 4 3" xfId="961"/>
    <cellStyle name="40% - 强调文字颜色 5 4 5" xfId="962"/>
    <cellStyle name="40% - 强调文字颜色 6 2" xfId="337"/>
    <cellStyle name="40% - 强调文字颜色 6 2 2" xfId="341"/>
    <cellStyle name="40% - 强调文字颜色 6 2 2 2" xfId="965"/>
    <cellStyle name="40% - 强调文字颜色 6 2 2 2 2" xfId="966"/>
    <cellStyle name="40% - 强调文字颜色 6 2 2 2 2 2" xfId="968"/>
    <cellStyle name="40% - 强调文字颜色 6 2 2 2 3" xfId="969"/>
    <cellStyle name="40% - 强调文字颜色 6 2 2 3" xfId="970"/>
    <cellStyle name="40% - 强调文字颜色 6 2 3" xfId="972"/>
    <cellStyle name="40% - 强调文字颜色 6 2 3 2" xfId="973"/>
    <cellStyle name="40% - 强调文字颜色 6 2 3 2 2" xfId="974"/>
    <cellStyle name="40% - 强调文字颜色 6 2 3 2 2 2" xfId="975"/>
    <cellStyle name="40% - 强调文字颜色 6 2 3 2 2 2 2" xfId="976"/>
    <cellStyle name="40% - 强调文字颜色 6 2 3 2 2 3" xfId="173"/>
    <cellStyle name="40% - 强调文字颜色 6 2 3 2 3" xfId="977"/>
    <cellStyle name="40% - 强调文字颜色 6 2 3 3" xfId="978"/>
    <cellStyle name="40% - 强调文字颜色 6 2 3 3 2" xfId="979"/>
    <cellStyle name="40% - 强调文字颜色 6 2 3 3 2 2" xfId="980"/>
    <cellStyle name="40% - 强调文字颜色 6 2 3 3 3" xfId="981"/>
    <cellStyle name="40% - 强调文字颜色 6 2 3 4" xfId="982"/>
    <cellStyle name="40% - 强调文字颜色 6 2 4" xfId="983"/>
    <cellStyle name="40% - 强调文字颜色 6 2 4 2" xfId="984"/>
    <cellStyle name="40% - 强调文字颜色 6 2 4 2 2" xfId="985"/>
    <cellStyle name="40% - 强调文字颜色 6 2 4 3" xfId="987"/>
    <cellStyle name="40% - 强调文字颜色 6 2 5" xfId="988"/>
    <cellStyle name="40% - 强调文字颜色 6 3" xfId="349"/>
    <cellStyle name="40% - 强调文字颜色 6 3 2" xfId="989"/>
    <cellStyle name="40% - 强调文字颜色 6 3 2 2" xfId="990"/>
    <cellStyle name="40% - 强调文字颜色 6 3 2 2 2" xfId="991"/>
    <cellStyle name="40% - 强调文字颜色 6 3 2 2 2 2" xfId="992"/>
    <cellStyle name="40% - 强调文字颜色 6 3 2 2 3" xfId="993"/>
    <cellStyle name="40% - 强调文字颜色 6 3 2 3" xfId="994"/>
    <cellStyle name="40% - 强调文字颜色 6 3 3" xfId="995"/>
    <cellStyle name="40% - 强调文字颜色 6 3 3 2" xfId="996"/>
    <cellStyle name="40% - 强调文字颜色 6 3 3 2 2" xfId="997"/>
    <cellStyle name="40% - 强调文字颜色 6 3 3 2 2 2" xfId="999"/>
    <cellStyle name="40% - 强调文字颜色 6 3 3 2 2 2 2" xfId="1002"/>
    <cellStyle name="40% - 强调文字颜色 6 3 3 2 2 3" xfId="277"/>
    <cellStyle name="40% - 强调文字颜色 6 3 3 2 3" xfId="1003"/>
    <cellStyle name="40% - 强调文字颜色 6 3 3 3" xfId="1004"/>
    <cellStyle name="40% - 强调文字颜色 6 3 3 3 2" xfId="1005"/>
    <cellStyle name="40% - 强调文字颜色 6 3 3 3 2 2" xfId="1006"/>
    <cellStyle name="40% - 强调文字颜色 6 3 3 3 3" xfId="1007"/>
    <cellStyle name="40% - 强调文字颜色 6 3 3 4" xfId="1008"/>
    <cellStyle name="40% - 强调文字颜色 6 3 4" xfId="1009"/>
    <cellStyle name="40% - 强调文字颜色 6 3 4 2" xfId="1010"/>
    <cellStyle name="40% - 强调文字颜色 6 3 4 2 2" xfId="1011"/>
    <cellStyle name="40% - 强调文字颜色 6 3 4 3" xfId="1013"/>
    <cellStyle name="40% - 强调文字颜色 6 3 5" xfId="1014"/>
    <cellStyle name="40% - 强调文字颜色 6 4" xfId="1016"/>
    <cellStyle name="40% - 强调文字颜色 6 4 2" xfId="1018"/>
    <cellStyle name="40% - 强调文字颜色 6 4 2 2" xfId="1020"/>
    <cellStyle name="40% - 强调文字颜色 6 4 2 2 2" xfId="1022"/>
    <cellStyle name="40% - 强调文字颜色 6 4 2 2 2 2" xfId="1024"/>
    <cellStyle name="40% - 强调文字颜色 6 4 2 2 3" xfId="1026"/>
    <cellStyle name="40% - 强调文字颜色 6 4 2 3" xfId="1028"/>
    <cellStyle name="40% - 强调文字颜色 6 4 3" xfId="1030"/>
    <cellStyle name="40% - 强调文字颜色 6 4 3 2" xfId="1032"/>
    <cellStyle name="40% - 强调文字颜色 6 4 3 2 2" xfId="1034"/>
    <cellStyle name="40% - 强调文字颜色 6 4 3 2 2 2" xfId="1035"/>
    <cellStyle name="40% - 强调文字颜色 6 4 3 2 2 2 2" xfId="854"/>
    <cellStyle name="40% - 强调文字颜色 6 4 3 2 2 3" xfId="392"/>
    <cellStyle name="40% - 强调文字颜色 6 4 3 2 3" xfId="1036"/>
    <cellStyle name="40% - 强调文字颜色 6 4 3 3" xfId="1038"/>
    <cellStyle name="40% - 强调文字颜色 6 4 3 3 2" xfId="1039"/>
    <cellStyle name="40% - 强调文字颜色 6 4 3 3 2 2" xfId="1040"/>
    <cellStyle name="40% - 强调文字颜色 6 4 3 3 3" xfId="1041"/>
    <cellStyle name="40% - 强调文字颜色 6 4 3 4" xfId="1042"/>
    <cellStyle name="40% - 强调文字颜色 6 4 4" xfId="1044"/>
    <cellStyle name="40% - 强调文字颜色 6 4 4 2" xfId="1045"/>
    <cellStyle name="40% - 强调文字颜色 6 4 4 2 2" xfId="1046"/>
    <cellStyle name="40% - 强调文字颜色 6 4 4 3" xfId="1047"/>
    <cellStyle name="40% - 强调文字颜色 6 4 5" xfId="1048"/>
    <cellStyle name="60% - 强调文字颜色 1 2" xfId="1049"/>
    <cellStyle name="60% - 强调文字颜色 1 2 2" xfId="1050"/>
    <cellStyle name="60% - 强调文字颜色 1 2 2 2" xfId="1051"/>
    <cellStyle name="60% - 强调文字颜色 1 2 2 2 2" xfId="1052"/>
    <cellStyle name="60% - 强调文字颜色 1 2 2 2 2 2" xfId="1053"/>
    <cellStyle name="60% - 强调文字颜色 1 2 2 2 2 2 2" xfId="1054"/>
    <cellStyle name="60% - 强调文字颜色 1 2 2 2 2 3" xfId="1055"/>
    <cellStyle name="60% - 强调文字颜色 1 2 2 2 3" xfId="1056"/>
    <cellStyle name="60% - 强调文字颜色 1 2 2 3" xfId="1057"/>
    <cellStyle name="60% - 强调文字颜色 1 2 2 3 2" xfId="1058"/>
    <cellStyle name="60% - 强调文字颜色 1 2 2 3 2 2" xfId="1059"/>
    <cellStyle name="60% - 强调文字颜色 1 2 2 3 3" xfId="296"/>
    <cellStyle name="60% - 强调文字颜色 1 2 2 4" xfId="1060"/>
    <cellStyle name="60% - 强调文字颜色 1 2 3" xfId="1061"/>
    <cellStyle name="60% - 强调文字颜色 1 2 3 2" xfId="1062"/>
    <cellStyle name="60% - 强调文字颜色 1 2 3 2 2" xfId="1063"/>
    <cellStyle name="60% - 强调文字颜色 1 2 3 3" xfId="1064"/>
    <cellStyle name="60% - 强调文字颜色 1 2 4" xfId="1065"/>
    <cellStyle name="60% - 强调文字颜色 1 3" xfId="1067"/>
    <cellStyle name="60% - 强调文字颜色 1 3 2" xfId="1068"/>
    <cellStyle name="60% - 强调文字颜色 1 3 2 2" xfId="1069"/>
    <cellStyle name="60% - 强调文字颜色 1 3 2 2 2" xfId="1070"/>
    <cellStyle name="60% - 强调文字颜色 1 3 2 2 2 2" xfId="1071"/>
    <cellStyle name="60% - 强调文字颜色 1 3 2 2 2 2 2" xfId="1073"/>
    <cellStyle name="60% - 强调文字颜色 1 3 2 2 2 3" xfId="1074"/>
    <cellStyle name="60% - 强调文字颜色 1 3 2 2 3" xfId="1075"/>
    <cellStyle name="60% - 强调文字颜色 1 3 2 3" xfId="1076"/>
    <cellStyle name="60% - 强调文字颜色 1 3 2 3 2" xfId="597"/>
    <cellStyle name="60% - 强调文字颜色 1 3 2 3 2 2" xfId="599"/>
    <cellStyle name="60% - 强调文字颜色 1 3 2 3 3" xfId="1077"/>
    <cellStyle name="60% - 强调文字颜色 1 3 2 4" xfId="1078"/>
    <cellStyle name="60% - 强调文字颜色 1 3 3" xfId="1079"/>
    <cellStyle name="60% - 强调文字颜色 1 3 3 2" xfId="1080"/>
    <cellStyle name="60% - 强调文字颜色 1 3 3 2 2" xfId="1081"/>
    <cellStyle name="60% - 强调文字颜色 1 3 3 3" xfId="1082"/>
    <cellStyle name="60% - 强调文字颜色 1 3 4" xfId="1083"/>
    <cellStyle name="60% - 强调文字颜色 2 2" xfId="1084"/>
    <cellStyle name="60% - 强调文字颜色 2 2 2" xfId="1085"/>
    <cellStyle name="60% - 强调文字颜色 2 2 2 2" xfId="1086"/>
    <cellStyle name="60% - 强调文字颜色 2 2 2 2 2" xfId="1087"/>
    <cellStyle name="60% - 强调文字颜色 2 2 2 2 2 2" xfId="1088"/>
    <cellStyle name="60% - 强调文字颜色 2 2 2 2 2 2 2" xfId="1089"/>
    <cellStyle name="60% - 强调文字颜色 2 2 2 2 2 3" xfId="1090"/>
    <cellStyle name="60% - 强调文字颜色 2 2 2 2 3" xfId="1091"/>
    <cellStyle name="60% - 强调文字颜色 2 2 2 3" xfId="1092"/>
    <cellStyle name="60% - 强调文字颜色 2 2 2 3 2" xfId="1094"/>
    <cellStyle name="60% - 强调文字颜色 2 2 2 3 2 2" xfId="1095"/>
    <cellStyle name="60% - 强调文字颜色 2 2 2 3 3" xfId="1096"/>
    <cellStyle name="60% - 强调文字颜色 2 2 2 4" xfId="1097"/>
    <cellStyle name="60% - 强调文字颜色 2 2 3" xfId="1098"/>
    <cellStyle name="60% - 强调文字颜色 2 2 3 2" xfId="1100"/>
    <cellStyle name="60% - 强调文字颜色 2 2 3 2 2" xfId="1101"/>
    <cellStyle name="60% - 强调文字颜色 2 2 3 3" xfId="1102"/>
    <cellStyle name="60% - 强调文字颜色 2 2 4" xfId="1103"/>
    <cellStyle name="60% - 强调文字颜色 2 3" xfId="22"/>
    <cellStyle name="60% - 强调文字颜色 2 3 2" xfId="1105"/>
    <cellStyle name="60% - 强调文字颜色 2 3 2 2" xfId="1107"/>
    <cellStyle name="60% - 强调文字颜色 2 3 2 2 2" xfId="1109"/>
    <cellStyle name="60% - 强调文字颜色 2 3 2 2 2 2" xfId="1112"/>
    <cellStyle name="60% - 强调文字颜色 2 3 2 2 2 2 2" xfId="753"/>
    <cellStyle name="60% - 强调文字颜色 2 3 2 2 2 3" xfId="1114"/>
    <cellStyle name="60% - 强调文字颜色 2 3 2 2 3" xfId="1117"/>
    <cellStyle name="60% - 强调文字颜色 2 3 2 3" xfId="1119"/>
    <cellStyle name="60% - 强调文字颜色 2 3 2 3 2" xfId="1121"/>
    <cellStyle name="60% - 强调文字颜色 2 3 2 3 2 2" xfId="1123"/>
    <cellStyle name="60% - 强调文字颜色 2 3 2 3 3" xfId="1125"/>
    <cellStyle name="60% - 强调文字颜色 2 3 2 4" xfId="1127"/>
    <cellStyle name="60% - 强调文字颜色 2 3 3" xfId="1129"/>
    <cellStyle name="60% - 强调文字颜色 2 3 3 2" xfId="1132"/>
    <cellStyle name="60% - 强调文字颜色 2 3 3 2 2" xfId="1134"/>
    <cellStyle name="60% - 强调文字颜色 2 3 3 3" xfId="654"/>
    <cellStyle name="60% - 强调文字颜色 2 3 4" xfId="1135"/>
    <cellStyle name="60% - 强调文字颜色 3 2" xfId="1136"/>
    <cellStyle name="60% - 强调文字颜色 3 2 2" xfId="1137"/>
    <cellStyle name="60% - 强调文字颜色 3 2 2 2" xfId="1138"/>
    <cellStyle name="60% - 强调文字颜色 3 2 2 2 2" xfId="1139"/>
    <cellStyle name="60% - 强调文字颜色 3 2 2 2 2 2" xfId="1140"/>
    <cellStyle name="60% - 强调文字颜色 3 2 2 2 2 2 2" xfId="29"/>
    <cellStyle name="60% - 强调文字颜色 3 2 2 2 2 3" xfId="1141"/>
    <cellStyle name="60% - 强调文字颜色 3 2 2 2 3" xfId="1142"/>
    <cellStyle name="60% - 强调文字颜色 3 2 2 3" xfId="1143"/>
    <cellStyle name="60% - 强调文字颜色 3 2 2 3 2" xfId="1144"/>
    <cellStyle name="60% - 强调文字颜色 3 2 2 3 2 2" xfId="1145"/>
    <cellStyle name="60% - 强调文字颜色 3 2 2 3 3" xfId="1146"/>
    <cellStyle name="60% - 强调文字颜色 3 2 2 4" xfId="1147"/>
    <cellStyle name="60% - 强调文字颜色 3 2 3" xfId="1148"/>
    <cellStyle name="60% - 强调文字颜色 3 2 3 2" xfId="1149"/>
    <cellStyle name="60% - 强调文字颜色 3 2 3 2 2" xfId="1150"/>
    <cellStyle name="60% - 强调文字颜色 3 2 3 3" xfId="1151"/>
    <cellStyle name="60% - 强调文字颜色 3 2 4" xfId="1099"/>
    <cellStyle name="60% - 强调文字颜色 3 3" xfId="1152"/>
    <cellStyle name="60% - 强调文字颜色 3 3 2" xfId="1153"/>
    <cellStyle name="60% - 强调文字颜色 3 3 2 2" xfId="1154"/>
    <cellStyle name="60% - 强调文字颜色 3 3 2 2 2" xfId="1155"/>
    <cellStyle name="60% - 强调文字颜色 3 3 2 2 2 2" xfId="1157"/>
    <cellStyle name="60% - 强调文字颜色 3 3 2 2 2 2 2" xfId="387"/>
    <cellStyle name="60% - 强调文字颜色 3 3 2 2 2 3" xfId="1158"/>
    <cellStyle name="60% - 强调文字颜色 3 3 2 2 3" xfId="1160"/>
    <cellStyle name="60% - 强调文字颜色 3 3 2 3" xfId="1161"/>
    <cellStyle name="60% - 强调文字颜色 3 3 2 3 2" xfId="1162"/>
    <cellStyle name="60% - 强调文字颜色 3 3 2 3 2 2" xfId="1163"/>
    <cellStyle name="60% - 强调文字颜色 3 3 2 3 3" xfId="1164"/>
    <cellStyle name="60% - 强调文字颜色 3 3 2 4" xfId="1165"/>
    <cellStyle name="60% - 强调文字颜色 3 3 3" xfId="1166"/>
    <cellStyle name="60% - 强调文字颜色 3 3 3 2" xfId="1167"/>
    <cellStyle name="60% - 强调文字颜色 3 3 3 2 2" xfId="1168"/>
    <cellStyle name="60% - 强调文字颜色 3 3 3 3" xfId="662"/>
    <cellStyle name="60% - 强调文字颜色 3 3 4" xfId="1169"/>
    <cellStyle name="60% - 强调文字颜色 4 2" xfId="552"/>
    <cellStyle name="60% - 强调文字颜色 4 2 2" xfId="1015"/>
    <cellStyle name="60% - 强调文字颜色 4 2 2 2" xfId="1017"/>
    <cellStyle name="60% - 强调文字颜色 4 2 2 2 2" xfId="1019"/>
    <cellStyle name="60% - 强调文字颜色 4 2 2 2 2 2" xfId="1021"/>
    <cellStyle name="60% - 强调文字颜色 4 2 2 2 2 2 2" xfId="1023"/>
    <cellStyle name="60% - 强调文字颜色 4 2 2 2 2 3" xfId="1025"/>
    <cellStyle name="60% - 强调文字颜色 4 2 2 2 3" xfId="1027"/>
    <cellStyle name="60% - 强调文字颜色 4 2 2 3" xfId="1029"/>
    <cellStyle name="60% - 强调文字颜色 4 2 2 3 2" xfId="1031"/>
    <cellStyle name="60% - 强调文字颜色 4 2 2 3 2 2" xfId="1033"/>
    <cellStyle name="60% - 强调文字颜色 4 2 2 3 3" xfId="1037"/>
    <cellStyle name="60% - 强调文字颜色 4 2 2 4" xfId="1043"/>
    <cellStyle name="60% - 强调文字颜色 4 2 3" xfId="1170"/>
    <cellStyle name="60% - 强调文字颜色 4 2 3 2" xfId="1171"/>
    <cellStyle name="60% - 强调文字颜色 4 2 3 2 2" xfId="1172"/>
    <cellStyle name="60% - 强调文字颜色 4 2 3 3" xfId="1173"/>
    <cellStyle name="60% - 强调文字颜色 4 2 4" xfId="1131"/>
    <cellStyle name="60% - 强调文字颜色 4 3" xfId="1174"/>
    <cellStyle name="60% - 强调文字颜色 4 3 2" xfId="1175"/>
    <cellStyle name="60% - 强调文字颜色 4 3 2 2" xfId="1176"/>
    <cellStyle name="60% - 强调文字颜色 4 3 2 2 2" xfId="1177"/>
    <cellStyle name="60% - 强调文字颜色 4 3 2 2 2 2" xfId="1178"/>
    <cellStyle name="60% - 强调文字颜色 4 3 2 2 2 2 2" xfId="314"/>
    <cellStyle name="60% - 强调文字颜色 4 3 2 2 2 3" xfId="1180"/>
    <cellStyle name="60% - 强调文字颜色 4 3 2 2 3" xfId="1181"/>
    <cellStyle name="60% - 强调文字颜色 4 3 2 3" xfId="1182"/>
    <cellStyle name="60% - 强调文字颜色 4 3 2 3 2" xfId="1183"/>
    <cellStyle name="60% - 强调文字颜色 4 3 2 3 2 2" xfId="1184"/>
    <cellStyle name="60% - 强调文字颜色 4 3 2 3 3" xfId="1185"/>
    <cellStyle name="60% - 强调文字颜色 4 3 2 4" xfId="1186"/>
    <cellStyle name="60% - 强调文字颜色 4 3 3" xfId="1188"/>
    <cellStyle name="60% - 强调文字颜色 4 3 3 2" xfId="585"/>
    <cellStyle name="60% - 强调文字颜色 4 3 3 2 2" xfId="1190"/>
    <cellStyle name="60% - 强调文字颜色 4 3 3 3" xfId="1192"/>
    <cellStyle name="60% - 强调文字颜色 4 3 4" xfId="1194"/>
    <cellStyle name="60% - 强调文字颜色 5 2" xfId="834"/>
    <cellStyle name="60% - 强调文字颜色 5 2 2" xfId="1195"/>
    <cellStyle name="60% - 强调文字颜色 5 2 2 2" xfId="1196"/>
    <cellStyle name="60% - 强调文字颜色 5 2 2 2 2" xfId="1197"/>
    <cellStyle name="60% - 强调文字颜色 5 2 2 2 2 2" xfId="1198"/>
    <cellStyle name="60% - 强调文字颜色 5 2 2 2 2 2 2" xfId="1199"/>
    <cellStyle name="60% - 强调文字颜色 5 2 2 2 2 3" xfId="1200"/>
    <cellStyle name="60% - 强调文字颜色 5 2 2 2 3" xfId="1201"/>
    <cellStyle name="60% - 强调文字颜色 5 2 2 3" xfId="1203"/>
    <cellStyle name="60% - 强调文字颜色 5 2 2 3 2" xfId="1205"/>
    <cellStyle name="60% - 强调文字颜色 5 2 2 3 2 2" xfId="1207"/>
    <cellStyle name="60% - 强调文字颜色 5 2 2 3 3" xfId="1209"/>
    <cellStyle name="60% - 强调文字颜色 5 2 2 4" xfId="1211"/>
    <cellStyle name="60% - 强调文字颜色 5 2 3" xfId="1212"/>
    <cellStyle name="60% - 强调文字颜色 5 2 3 2" xfId="1213"/>
    <cellStyle name="60% - 强调文字颜色 5 2 3 2 2" xfId="1214"/>
    <cellStyle name="60% - 强调文字颜色 5 2 3 3" xfId="1215"/>
    <cellStyle name="60% - 强调文字颜色 5 2 4" xfId="211"/>
    <cellStyle name="60% - 强调文字颜色 5 3" xfId="1216"/>
    <cellStyle name="60% - 强调文字颜色 5 3 2" xfId="1217"/>
    <cellStyle name="60% - 强调文字颜色 5 3 2 2" xfId="1218"/>
    <cellStyle name="60% - 强调文字颜色 5 3 2 2 2" xfId="1219"/>
    <cellStyle name="60% - 强调文字颜色 5 3 2 2 2 2" xfId="1220"/>
    <cellStyle name="60% - 强调文字颜色 5 3 2 2 2 2 2" xfId="1222"/>
    <cellStyle name="60% - 强调文字颜色 5 3 2 2 2 3" xfId="1223"/>
    <cellStyle name="60% - 强调文字颜色 5 3 2 2 3" xfId="1224"/>
    <cellStyle name="60% - 强调文字颜色 5 3 2 3" xfId="1225"/>
    <cellStyle name="60% - 强调文字颜色 5 3 2 3 2" xfId="1226"/>
    <cellStyle name="60% - 强调文字颜色 5 3 2 3 2 2" xfId="1227"/>
    <cellStyle name="60% - 强调文字颜色 5 3 2 3 3" xfId="1228"/>
    <cellStyle name="60% - 强调文字颜色 5 3 2 4" xfId="1229"/>
    <cellStyle name="60% - 强调文字颜色 5 3 3" xfId="1231"/>
    <cellStyle name="60% - 强调文字颜色 5 3 3 2" xfId="1233"/>
    <cellStyle name="60% - 强调文字颜色 5 3 3 2 2" xfId="1235"/>
    <cellStyle name="60% - 强调文字颜色 5 3 3 3" xfId="1237"/>
    <cellStyle name="60% - 强调文字颜色 5 3 4" xfId="1239"/>
    <cellStyle name="60% - 强调文字颜色 6 2" xfId="1240"/>
    <cellStyle name="60% - 强调文字颜色 6 2 2" xfId="1241"/>
    <cellStyle name="60% - 强调文字颜色 6 2 2 2" xfId="1242"/>
    <cellStyle name="60% - 强调文字颜色 6 2 2 2 2" xfId="1243"/>
    <cellStyle name="60% - 强调文字颜色 6 2 2 2 2 2" xfId="1244"/>
    <cellStyle name="60% - 强调文字颜色 6 2 2 2 2 2 2" xfId="1245"/>
    <cellStyle name="60% - 强调文字颜色 6 2 2 2 2 3" xfId="1246"/>
    <cellStyle name="60% - 强调文字颜色 6 2 2 2 3" xfId="1247"/>
    <cellStyle name="60% - 强调文字颜色 6 2 2 3" xfId="1248"/>
    <cellStyle name="60% - 强调文字颜色 6 2 2 3 2" xfId="1249"/>
    <cellStyle name="60% - 强调文字颜色 6 2 2 3 2 2" xfId="1250"/>
    <cellStyle name="60% - 强调文字颜色 6 2 2 3 3" xfId="681"/>
    <cellStyle name="60% - 强调文字颜色 6 2 2 4" xfId="1251"/>
    <cellStyle name="60% - 强调文字颜色 6 2 3" xfId="1252"/>
    <cellStyle name="60% - 强调文字颜色 6 2 3 2" xfId="1253"/>
    <cellStyle name="60% - 强调文字颜色 6 2 3 2 2" xfId="1254"/>
    <cellStyle name="60% - 强调文字颜色 6 2 3 3" xfId="1255"/>
    <cellStyle name="60% - 强调文字颜色 6 2 4" xfId="1256"/>
    <cellStyle name="60% - 强调文字颜色 6 3" xfId="1257"/>
    <cellStyle name="60% - 强调文字颜色 6 3 2" xfId="1258"/>
    <cellStyle name="60% - 强调文字颜色 6 3 2 2" xfId="1259"/>
    <cellStyle name="60% - 强调文字颜色 6 3 2 2 2" xfId="1260"/>
    <cellStyle name="60% - 强调文字颜色 6 3 2 2 2 2" xfId="1261"/>
    <cellStyle name="60% - 强调文字颜色 6 3 2 2 2 2 2" xfId="1262"/>
    <cellStyle name="60% - 强调文字颜色 6 3 2 2 2 3" xfId="1263"/>
    <cellStyle name="60% - 强调文字颜色 6 3 2 2 3" xfId="1264"/>
    <cellStyle name="60% - 强调文字颜色 6 3 2 3" xfId="1265"/>
    <cellStyle name="60% - 强调文字颜色 6 3 2 3 2" xfId="1266"/>
    <cellStyle name="60% - 强调文字颜色 6 3 2 3 2 2" xfId="1267"/>
    <cellStyle name="60% - 强调文字颜色 6 3 2 3 3" xfId="770"/>
    <cellStyle name="60% - 强调文字颜色 6 3 2 4" xfId="1268"/>
    <cellStyle name="60% - 强调文字颜色 6 3 3" xfId="1269"/>
    <cellStyle name="60% - 强调文字颜色 6 3 3 2" xfId="1270"/>
    <cellStyle name="60% - 强调文字颜色 6 3 3 2 2" xfId="1271"/>
    <cellStyle name="60% - 强调文字颜色 6 3 3 3" xfId="1272"/>
    <cellStyle name="60% - 强调文字颜色 6 3 4" xfId="1273"/>
    <cellStyle name="百分比" xfId="20" builtinId="5"/>
    <cellStyle name="标题 1 2" xfId="1274"/>
    <cellStyle name="标题 1 2 2" xfId="1276"/>
    <cellStyle name="标题 1 2 2 2" xfId="1277"/>
    <cellStyle name="标题 1 2 2 2 2" xfId="1278"/>
    <cellStyle name="标题 1 2 2 2 2 2" xfId="1279"/>
    <cellStyle name="标题 1 2 2 2 2 2 2" xfId="1280"/>
    <cellStyle name="标题 1 2 2 2 2 3" xfId="1281"/>
    <cellStyle name="标题 1 2 2 2 3" xfId="1282"/>
    <cellStyle name="标题 1 2 2 3" xfId="1284"/>
    <cellStyle name="标题 1 2 2 3 2" xfId="147"/>
    <cellStyle name="标题 1 2 2 3 2 2" xfId="1285"/>
    <cellStyle name="标题 1 2 2 3 3" xfId="1286"/>
    <cellStyle name="标题 1 2 2 4" xfId="43"/>
    <cellStyle name="标题 1 2 3" xfId="1287"/>
    <cellStyle name="标题 1 2 3 2" xfId="1288"/>
    <cellStyle name="标题 1 2 3 2 2" xfId="1289"/>
    <cellStyle name="标题 1 2 3 3" xfId="1290"/>
    <cellStyle name="标题 1 2 4" xfId="1292"/>
    <cellStyle name="标题 1 3" xfId="1293"/>
    <cellStyle name="标题 1 3 2" xfId="1294"/>
    <cellStyle name="标题 1 3 2 2" xfId="1295"/>
    <cellStyle name="标题 1 3 2 2 2" xfId="1296"/>
    <cellStyle name="标题 1 3 2 2 2 2" xfId="1298"/>
    <cellStyle name="标题 1 3 2 2 2 2 2" xfId="400"/>
    <cellStyle name="标题 1 3 2 2 2 3" xfId="1300"/>
    <cellStyle name="标题 1 3 2 2 3" xfId="1301"/>
    <cellStyle name="标题 1 3 2 3" xfId="1303"/>
    <cellStyle name="标题 1 3 2 3 2" xfId="190"/>
    <cellStyle name="标题 1 3 2 3 2 2" xfId="1305"/>
    <cellStyle name="标题 1 3 2 3 3" xfId="1306"/>
    <cellStyle name="标题 1 3 2 4" xfId="1308"/>
    <cellStyle name="标题 1 3 3" xfId="1309"/>
    <cellStyle name="标题 1 3 3 2" xfId="1310"/>
    <cellStyle name="标题 1 3 3 2 2" xfId="1311"/>
    <cellStyle name="标题 1 3 3 3" xfId="1312"/>
    <cellStyle name="标题 1 3 4" xfId="306"/>
    <cellStyle name="标题 2 2" xfId="1313"/>
    <cellStyle name="标题 2 2 2" xfId="882"/>
    <cellStyle name="标题 2 2 2 2" xfId="1314"/>
    <cellStyle name="标题 2 2 2 2 2" xfId="1316"/>
    <cellStyle name="标题 2 2 2 2 2 2" xfId="1318"/>
    <cellStyle name="标题 2 2 2 2 2 2 2" xfId="1320"/>
    <cellStyle name="标题 2 2 2 2 2 3" xfId="1322"/>
    <cellStyle name="标题 2 2 2 2 3" xfId="1323"/>
    <cellStyle name="标题 2 2 2 3" xfId="1324"/>
    <cellStyle name="标题 2 2 2 3 2" xfId="1325"/>
    <cellStyle name="标题 2 2 2 3 2 2" xfId="1326"/>
    <cellStyle name="标题 2 2 2 3 3" xfId="1327"/>
    <cellStyle name="标题 2 2 2 4" xfId="1328"/>
    <cellStyle name="标题 2 2 3" xfId="1329"/>
    <cellStyle name="标题 2 2 3 2" xfId="1330"/>
    <cellStyle name="标题 2 2 3 2 2" xfId="1331"/>
    <cellStyle name="标题 2 2 3 3" xfId="1332"/>
    <cellStyle name="标题 2 2 4" xfId="1333"/>
    <cellStyle name="标题 2 3" xfId="1334"/>
    <cellStyle name="标题 2 3 2" xfId="1335"/>
    <cellStyle name="标题 2 3 2 2" xfId="1336"/>
    <cellStyle name="标题 2 3 2 2 2" xfId="1337"/>
    <cellStyle name="标题 2 3 2 2 2 2" xfId="1338"/>
    <cellStyle name="标题 2 3 2 2 2 2 2" xfId="1339"/>
    <cellStyle name="标题 2 3 2 2 2 3" xfId="1340"/>
    <cellStyle name="标题 2 3 2 2 3" xfId="1341"/>
    <cellStyle name="标题 2 3 2 3" xfId="1342"/>
    <cellStyle name="标题 2 3 2 3 2" xfId="1343"/>
    <cellStyle name="标题 2 3 2 3 2 2" xfId="1344"/>
    <cellStyle name="标题 2 3 2 3 3" xfId="1345"/>
    <cellStyle name="标题 2 3 2 4" xfId="1346"/>
    <cellStyle name="标题 2 3 3" xfId="1347"/>
    <cellStyle name="标题 2 3 3 2" xfId="1348"/>
    <cellStyle name="标题 2 3 3 2 2" xfId="1349"/>
    <cellStyle name="标题 2 3 3 3" xfId="1350"/>
    <cellStyle name="标题 2 3 4" xfId="1351"/>
    <cellStyle name="标题 3 2" xfId="1352"/>
    <cellStyle name="标题 3 2 2" xfId="893"/>
    <cellStyle name="标题 3 2 2 2" xfId="1353"/>
    <cellStyle name="标题 3 2 2 2 2" xfId="1354"/>
    <cellStyle name="标题 3 2 2 2 2 2" xfId="1355"/>
    <cellStyle name="标题 3 2 2 2 2 2 2" xfId="1356"/>
    <cellStyle name="标题 3 2 2 2 2 3" xfId="1357"/>
    <cellStyle name="标题 3 2 2 2 3" xfId="1358"/>
    <cellStyle name="标题 3 2 2 3" xfId="1359"/>
    <cellStyle name="标题 3 2 2 3 2" xfId="1361"/>
    <cellStyle name="标题 3 2 2 3 2 2" xfId="1362"/>
    <cellStyle name="标题 3 2 2 3 3" xfId="1363"/>
    <cellStyle name="标题 3 2 2 4" xfId="1364"/>
    <cellStyle name="标题 3 2 3" xfId="1365"/>
    <cellStyle name="标题 3 2 3 2" xfId="1366"/>
    <cellStyle name="标题 3 2 3 2 2" xfId="1367"/>
    <cellStyle name="标题 3 2 3 3" xfId="1368"/>
    <cellStyle name="标题 3 2 4" xfId="1369"/>
    <cellStyle name="标题 3 3" xfId="1370"/>
    <cellStyle name="标题 3 3 2" xfId="898"/>
    <cellStyle name="标题 3 3 2 2" xfId="1371"/>
    <cellStyle name="标题 3 3 2 2 2" xfId="1372"/>
    <cellStyle name="标题 3 3 2 2 2 2" xfId="1373"/>
    <cellStyle name="标题 3 3 2 2 2 2 2" xfId="1374"/>
    <cellStyle name="标题 3 3 2 2 2 3" xfId="1375"/>
    <cellStyle name="标题 3 3 2 2 3" xfId="1376"/>
    <cellStyle name="标题 3 3 2 3" xfId="1377"/>
    <cellStyle name="标题 3 3 2 3 2" xfId="1378"/>
    <cellStyle name="标题 3 3 2 3 2 2" xfId="1379"/>
    <cellStyle name="标题 3 3 2 3 3" xfId="1380"/>
    <cellStyle name="标题 3 3 2 4" xfId="1381"/>
    <cellStyle name="标题 3 3 3" xfId="1382"/>
    <cellStyle name="标题 3 3 3 2" xfId="1383"/>
    <cellStyle name="标题 3 3 3 2 2" xfId="1384"/>
    <cellStyle name="标题 3 3 3 3" xfId="1385"/>
    <cellStyle name="标题 3 3 4" xfId="1386"/>
    <cellStyle name="标题 4 2" xfId="1387"/>
    <cellStyle name="标题 4 2 2" xfId="1388"/>
    <cellStyle name="标题 4 2 2 2" xfId="1390"/>
    <cellStyle name="标题 4 2 2 2 2" xfId="1391"/>
    <cellStyle name="标题 4 2 2 2 2 2" xfId="1392"/>
    <cellStyle name="标题 4 2 2 2 2 2 2" xfId="1393"/>
    <cellStyle name="标题 4 2 2 2 2 3" xfId="1394"/>
    <cellStyle name="标题 4 2 2 2 3" xfId="1395"/>
    <cellStyle name="标题 4 2 2 3" xfId="1396"/>
    <cellStyle name="标题 4 2 2 3 2" xfId="1397"/>
    <cellStyle name="标题 4 2 2 3 2 2" xfId="1398"/>
    <cellStyle name="标题 4 2 2 3 3" xfId="1399"/>
    <cellStyle name="标题 4 2 2 4" xfId="1400"/>
    <cellStyle name="标题 4 2 3" xfId="1401"/>
    <cellStyle name="标题 4 2 3 2" xfId="1402"/>
    <cellStyle name="标题 4 2 3 2 2" xfId="1403"/>
    <cellStyle name="标题 4 2 3 3" xfId="1404"/>
    <cellStyle name="标题 4 2 4" xfId="1406"/>
    <cellStyle name="标题 4 3" xfId="1407"/>
    <cellStyle name="标题 4 3 2" xfId="1408"/>
    <cellStyle name="标题 4 3 2 2" xfId="1411"/>
    <cellStyle name="标题 4 3 2 2 2" xfId="1412"/>
    <cellStyle name="标题 4 3 2 2 2 2" xfId="1413"/>
    <cellStyle name="标题 4 3 2 2 2 2 2" xfId="1414"/>
    <cellStyle name="标题 4 3 2 2 2 3" xfId="1415"/>
    <cellStyle name="标题 4 3 2 2 3" xfId="1416"/>
    <cellStyle name="标题 4 3 2 3" xfId="1417"/>
    <cellStyle name="标题 4 3 2 3 2" xfId="1418"/>
    <cellStyle name="标题 4 3 2 3 2 2" xfId="1419"/>
    <cellStyle name="标题 4 3 2 3 3" xfId="1420"/>
    <cellStyle name="标题 4 3 2 4" xfId="1421"/>
    <cellStyle name="标题 4 3 3" xfId="1422"/>
    <cellStyle name="标题 4 3 3 2" xfId="1424"/>
    <cellStyle name="标题 4 3 3 2 2" xfId="1425"/>
    <cellStyle name="标题 4 3 3 3" xfId="1426"/>
    <cellStyle name="标题 4 3 4" xfId="1427"/>
    <cellStyle name="标题 5" xfId="1428"/>
    <cellStyle name="标题 5 2" xfId="1429"/>
    <cellStyle name="标题 5 2 2" xfId="1430"/>
    <cellStyle name="标题 5 2 2 2" xfId="1431"/>
    <cellStyle name="标题 5 2 2 2 2" xfId="1432"/>
    <cellStyle name="标题 5 2 2 2 2 2" xfId="1433"/>
    <cellStyle name="标题 5 2 2 2 3" xfId="1434"/>
    <cellStyle name="标题 5 2 2 3" xfId="1436"/>
    <cellStyle name="标题 5 2 3" xfId="1437"/>
    <cellStyle name="标题 5 2 3 2" xfId="1438"/>
    <cellStyle name="标题 5 2 3 2 2" xfId="1439"/>
    <cellStyle name="标题 5 2 3 3" xfId="1440"/>
    <cellStyle name="标题 5 2 4" xfId="1441"/>
    <cellStyle name="标题 5 3" xfId="1442"/>
    <cellStyle name="标题 5 3 2" xfId="70"/>
    <cellStyle name="标题 5 3 2 2" xfId="415"/>
    <cellStyle name="标题 5 3 3" xfId="54"/>
    <cellStyle name="标题 5 4" xfId="1443"/>
    <cellStyle name="标题 6" xfId="1444"/>
    <cellStyle name="标题 6 2" xfId="1445"/>
    <cellStyle name="标题 6 2 2" xfId="333"/>
    <cellStyle name="标题 6 2 2 2" xfId="1446"/>
    <cellStyle name="标题 6 2 2 2 2" xfId="1447"/>
    <cellStyle name="标题 6 2 2 2 2 2" xfId="1448"/>
    <cellStyle name="标题 6 2 2 2 3" xfId="1449"/>
    <cellStyle name="标题 6 2 2 3" xfId="1451"/>
    <cellStyle name="标题 6 2 3" xfId="1452"/>
    <cellStyle name="标题 6 2 3 2" xfId="1453"/>
    <cellStyle name="标题 6 2 3 2 2" xfId="1454"/>
    <cellStyle name="标题 6 2 3 3" xfId="1455"/>
    <cellStyle name="标题 6 2 4" xfId="1458"/>
    <cellStyle name="标题 6 3" xfId="1459"/>
    <cellStyle name="标题 6 3 2" xfId="1460"/>
    <cellStyle name="标题 6 3 2 2" xfId="1461"/>
    <cellStyle name="标题 6 3 3" xfId="1462"/>
    <cellStyle name="标题 6 4" xfId="1463"/>
    <cellStyle name="差 2" xfId="1464"/>
    <cellStyle name="差 2 2" xfId="1465"/>
    <cellStyle name="差 2 2 2" xfId="1466"/>
    <cellStyle name="差 2 2 2 2" xfId="1467"/>
    <cellStyle name="差 2 2 2 2 2" xfId="1468"/>
    <cellStyle name="差 2 2 2 2 2 2" xfId="1470"/>
    <cellStyle name="差 2 2 2 2 3" xfId="1471"/>
    <cellStyle name="差 2 2 2 3" xfId="1472"/>
    <cellStyle name="差 2 2 3" xfId="1473"/>
    <cellStyle name="差 2 2 3 2" xfId="1474"/>
    <cellStyle name="差 2 2 3 2 2" xfId="1116"/>
    <cellStyle name="差 2 2 3 3" xfId="1475"/>
    <cellStyle name="差 2 2 4" xfId="1476"/>
    <cellStyle name="差 2 3" xfId="1477"/>
    <cellStyle name="差 2 3 2" xfId="51"/>
    <cellStyle name="差 2 3 2 2" xfId="1479"/>
    <cellStyle name="差 2 3 3" xfId="1480"/>
    <cellStyle name="差 2 4" xfId="1481"/>
    <cellStyle name="差 3" xfId="1482"/>
    <cellStyle name="差 3 2" xfId="1483"/>
    <cellStyle name="差 3 2 2" xfId="1484"/>
    <cellStyle name="差 3 2 2 2" xfId="1485"/>
    <cellStyle name="差 3 2 2 2 2" xfId="1486"/>
    <cellStyle name="差 3 2 2 2 2 2" xfId="1487"/>
    <cellStyle name="差 3 2 2 2 3" xfId="1489"/>
    <cellStyle name="差 3 2 2 3" xfId="1490"/>
    <cellStyle name="差 3 2 3" xfId="1491"/>
    <cellStyle name="差 3 2 3 2" xfId="1492"/>
    <cellStyle name="差 3 2 3 2 2" xfId="1159"/>
    <cellStyle name="差 3 2 3 3" xfId="1493"/>
    <cellStyle name="差 3 2 4" xfId="1360"/>
    <cellStyle name="差 3 3" xfId="1494"/>
    <cellStyle name="差 3 3 2" xfId="1495"/>
    <cellStyle name="差 3 3 2 2" xfId="1496"/>
    <cellStyle name="差 3 3 3" xfId="1497"/>
    <cellStyle name="差 3 4" xfId="1498"/>
    <cellStyle name="常规" xfId="0" builtinId="0"/>
    <cellStyle name="常规 2" xfId="1499"/>
    <cellStyle name="常规 2 2" xfId="394"/>
    <cellStyle name="常规 2 2 2" xfId="728"/>
    <cellStyle name="常规 2 2 2 2" xfId="1500"/>
    <cellStyle name="常规 2 2 2 2 2" xfId="86"/>
    <cellStyle name="常规 2 2 2 2 2 2" xfId="1501"/>
    <cellStyle name="常规 2 2 2 2 3" xfId="1502"/>
    <cellStyle name="常规 2 2 2 2 3 2" xfId="1503"/>
    <cellStyle name="常规 2 2 2 2 4" xfId="1093"/>
    <cellStyle name="常规 2 2 2 3" xfId="1504"/>
    <cellStyle name="常规 2 2 2 3 2" xfId="1505"/>
    <cellStyle name="常规 2 2 2 4" xfId="59"/>
    <cellStyle name="常规 2 2 3" xfId="1506"/>
    <cellStyle name="常规 2 2 3 2" xfId="1507"/>
    <cellStyle name="常规 2 2 3 2 2" xfId="1508"/>
    <cellStyle name="常规 2 2 3 3" xfId="1509"/>
    <cellStyle name="常规 2 2 4" xfId="1510"/>
    <cellStyle name="常规 2 3" xfId="1511"/>
    <cellStyle name="常规 2 3 2" xfId="1512"/>
    <cellStyle name="常规 2 3 2 2" xfId="1513"/>
    <cellStyle name="常规 2 3 3" xfId="1514"/>
    <cellStyle name="常规 2 4" xfId="1515"/>
    <cellStyle name="常规 2 4 2" xfId="1516"/>
    <cellStyle name="常规 2 5" xfId="1156"/>
    <cellStyle name="常规 3" xfId="1297"/>
    <cellStyle name="常规 3 2" xfId="399"/>
    <cellStyle name="常规 3 2 2" xfId="1517"/>
    <cellStyle name="常规 3 2 2 2" xfId="1518"/>
    <cellStyle name="常规 3 2 2 2 2" xfId="134"/>
    <cellStyle name="常规 3 2 2 2 2 2" xfId="1519"/>
    <cellStyle name="常规 3 2 2 2 3" xfId="1520"/>
    <cellStyle name="常规 3 2 2 3" xfId="1521"/>
    <cellStyle name="常规 3 2 3" xfId="1522"/>
    <cellStyle name="常规 3 2 3 2" xfId="1523"/>
    <cellStyle name="常规 3 2 3 2 2" xfId="1524"/>
    <cellStyle name="常规 3 2 3 3" xfId="1525"/>
    <cellStyle name="常规 3 2 4" xfId="1526"/>
    <cellStyle name="常规 3 3" xfId="1469"/>
    <cellStyle name="常规 3 3 2" xfId="1527"/>
    <cellStyle name="常规 3 3 2 2" xfId="1528"/>
    <cellStyle name="常规 3 3 3" xfId="1529"/>
    <cellStyle name="常规 3 4" xfId="1530"/>
    <cellStyle name="常规 4" xfId="1299"/>
    <cellStyle name="常规 4 2" xfId="1531"/>
    <cellStyle name="常规 4 2 2" xfId="1533"/>
    <cellStyle name="常规 4 2 2 2" xfId="1534"/>
    <cellStyle name="常规 4 2 2 2 2" xfId="180"/>
    <cellStyle name="常规 4 2 2 3" xfId="26"/>
    <cellStyle name="常规 4 2 3" xfId="1535"/>
    <cellStyle name="常规 4 3" xfId="1536"/>
    <cellStyle name="常规 4 3 2" xfId="1538"/>
    <cellStyle name="常规 4 3 2 2" xfId="1539"/>
    <cellStyle name="常规 4 3 3" xfId="1540"/>
    <cellStyle name="常规 4 3 3 2" xfId="1541"/>
    <cellStyle name="常规 4 3 4" xfId="964"/>
    <cellStyle name="常规 4 4" xfId="1532"/>
    <cellStyle name="常规 5" xfId="1542"/>
    <cellStyle name="常规 5 2" xfId="1543"/>
    <cellStyle name="常规 5 2 2" xfId="1544"/>
    <cellStyle name="常规 5 2 2 2" xfId="1545"/>
    <cellStyle name="常规 5 2 3" xfId="1546"/>
    <cellStyle name="常规 5 3" xfId="1547"/>
    <cellStyle name="常规 5 3 2" xfId="1548"/>
    <cellStyle name="常规 5 4" xfId="1537"/>
    <cellStyle name="常规 6" xfId="1549"/>
    <cellStyle name="好 2" xfId="1478"/>
    <cellStyle name="好 2 2" xfId="1550"/>
    <cellStyle name="好 2 2 2" xfId="1551"/>
    <cellStyle name="好 2 2 2 2" xfId="1553"/>
    <cellStyle name="好 2 2 2 2 2" xfId="1555"/>
    <cellStyle name="好 2 2 2 2 2 2" xfId="1557"/>
    <cellStyle name="好 2 2 2 2 3" xfId="1559"/>
    <cellStyle name="好 2 2 2 3" xfId="1410"/>
    <cellStyle name="好 2 2 3" xfId="1560"/>
    <cellStyle name="好 2 2 3 2" xfId="1561"/>
    <cellStyle name="好 2 2 3 2 2" xfId="1563"/>
    <cellStyle name="好 2 2 3 3" xfId="1423"/>
    <cellStyle name="好 2 2 4" xfId="1564"/>
    <cellStyle name="好 2 3" xfId="869"/>
    <cellStyle name="好 2 3 2" xfId="872"/>
    <cellStyle name="好 2 3 2 2" xfId="875"/>
    <cellStyle name="好 2 3 3" xfId="886"/>
    <cellStyle name="好 2 4" xfId="906"/>
    <cellStyle name="好 3" xfId="1565"/>
    <cellStyle name="好 3 2" xfId="1566"/>
    <cellStyle name="好 3 2 2" xfId="1567"/>
    <cellStyle name="好 3 2 2 2" xfId="1568"/>
    <cellStyle name="好 3 2 2 2 2" xfId="1569"/>
    <cellStyle name="好 3 2 2 2 2 2" xfId="265"/>
    <cellStyle name="好 3 2 2 2 3" xfId="1570"/>
    <cellStyle name="好 3 2 2 3" xfId="414"/>
    <cellStyle name="好 3 2 3" xfId="1571"/>
    <cellStyle name="好 3 2 3 2" xfId="636"/>
    <cellStyle name="好 3 2 3 2 2" xfId="1572"/>
    <cellStyle name="好 3 2 3 3" xfId="481"/>
    <cellStyle name="好 3 2 4" xfId="1575"/>
    <cellStyle name="好 3 3" xfId="336"/>
    <cellStyle name="好 3 3 2" xfId="340"/>
    <cellStyle name="好 3 3 2 2" xfId="963"/>
    <cellStyle name="好 3 3 3" xfId="971"/>
    <cellStyle name="好 3 4" xfId="348"/>
    <cellStyle name="汇总 2" xfId="1576"/>
    <cellStyle name="汇总 2 2" xfId="1577"/>
    <cellStyle name="汇总 2 2 2" xfId="1578"/>
    <cellStyle name="汇总 2 2 2 2" xfId="1579"/>
    <cellStyle name="汇总 2 2 2 2 2" xfId="1580"/>
    <cellStyle name="汇总 2 2 2 2 2 2" xfId="1581"/>
    <cellStyle name="汇总 2 2 2 2 3" xfId="1582"/>
    <cellStyle name="汇总 2 2 2 3" xfId="1583"/>
    <cellStyle name="汇总 2 2 3" xfId="1585"/>
    <cellStyle name="汇总 2 2 3 2" xfId="1457"/>
    <cellStyle name="汇总 2 2 3 2 2" xfId="1589"/>
    <cellStyle name="汇总 2 2 3 3" xfId="1591"/>
    <cellStyle name="汇总 2 2 4" xfId="1593"/>
    <cellStyle name="汇总 2 3" xfId="1594"/>
    <cellStyle name="汇总 2 3 2" xfId="1596"/>
    <cellStyle name="汇总 2 3 2 2" xfId="1598"/>
    <cellStyle name="汇总 2 3 3" xfId="164"/>
    <cellStyle name="汇总 2 4" xfId="182"/>
    <cellStyle name="汇总 3" xfId="1599"/>
    <cellStyle name="汇总 3 2" xfId="1600"/>
    <cellStyle name="汇总 3 2 2" xfId="1601"/>
    <cellStyle name="汇总 3 2 2 2" xfId="1602"/>
    <cellStyle name="汇总 3 2 2 2 2" xfId="1603"/>
    <cellStyle name="汇总 3 2 2 2 2 2" xfId="1604"/>
    <cellStyle name="汇总 3 2 2 2 3" xfId="1605"/>
    <cellStyle name="汇总 3 2 2 3" xfId="1606"/>
    <cellStyle name="汇总 3 2 3" xfId="1608"/>
    <cellStyle name="汇总 3 2 3 2" xfId="1610"/>
    <cellStyle name="汇总 3 2 3 2 2" xfId="1612"/>
    <cellStyle name="汇总 3 2 3 3" xfId="1614"/>
    <cellStyle name="汇总 3 2 4" xfId="1616"/>
    <cellStyle name="汇总 3 3" xfId="1617"/>
    <cellStyle name="汇总 3 3 2" xfId="1618"/>
    <cellStyle name="汇总 3 3 2 2" xfId="1619"/>
    <cellStyle name="汇总 3 3 3" xfId="1621"/>
    <cellStyle name="汇总 3 4" xfId="1622"/>
    <cellStyle name="货币 2" xfId="1623"/>
    <cellStyle name="货币 2 2" xfId="1624"/>
    <cellStyle name="货币 2 2 2" xfId="1625"/>
    <cellStyle name="货币 2 2 2 2" xfId="1626"/>
    <cellStyle name="货币 2 2 2 2 2" xfId="1627"/>
    <cellStyle name="货币 2 2 2 2 2 2" xfId="1628"/>
    <cellStyle name="货币 2 2 2 2 3" xfId="1629"/>
    <cellStyle name="货币 2 2 2 3" xfId="1595"/>
    <cellStyle name="货币 2 2 2 3 2" xfId="1597"/>
    <cellStyle name="货币 2 2 2 4" xfId="163"/>
    <cellStyle name="货币 2 2 3" xfId="1631"/>
    <cellStyle name="货币 2 2 3 2" xfId="1633"/>
    <cellStyle name="货币 2 2 3 2 2" xfId="1635"/>
    <cellStyle name="货币 2 2 3 3" xfId="56"/>
    <cellStyle name="货币 2 2 4" xfId="1637"/>
    <cellStyle name="货币 2 2 4 2" xfId="1574"/>
    <cellStyle name="货币 2 2 5" xfId="1639"/>
    <cellStyle name="货币 2 3" xfId="1640"/>
    <cellStyle name="货币 2 3 2" xfId="1641"/>
    <cellStyle name="货币 2 3 2 2" xfId="1642"/>
    <cellStyle name="货币 2 3 3" xfId="1644"/>
    <cellStyle name="货币 2 4" xfId="1645"/>
    <cellStyle name="货币 2 4 2" xfId="953"/>
    <cellStyle name="货币 2 5" xfId="1646"/>
    <cellStyle name="货币 3" xfId="1647"/>
    <cellStyle name="货币 3 2" xfId="1648"/>
    <cellStyle name="货币 3 2 2" xfId="1649"/>
    <cellStyle name="货币 3 2 2 2" xfId="1650"/>
    <cellStyle name="货币 3 2 2 2 2" xfId="1651"/>
    <cellStyle name="货币 3 2 2 2 2 2" xfId="1066"/>
    <cellStyle name="货币 3 2 2 2 3" xfId="1652"/>
    <cellStyle name="货币 3 2 2 3" xfId="1653"/>
    <cellStyle name="货币 3 2 2 3 2" xfId="1654"/>
    <cellStyle name="货币 3 2 2 4" xfId="175"/>
    <cellStyle name="货币 3 2 3" xfId="1655"/>
    <cellStyle name="货币 3 2 3 2" xfId="1656"/>
    <cellStyle name="货币 3 2 3 2 2" xfId="1657"/>
    <cellStyle name="货币 3 2 3 3" xfId="567"/>
    <cellStyle name="货币 3 2 4" xfId="1658"/>
    <cellStyle name="货币 3 2 4 2" xfId="1659"/>
    <cellStyle name="货币 3 2 5" xfId="1660"/>
    <cellStyle name="货币 3 3" xfId="1661"/>
    <cellStyle name="货币 3 3 2" xfId="1662"/>
    <cellStyle name="货币 3 3 2 2" xfId="1663"/>
    <cellStyle name="货币 3 3 3" xfId="1664"/>
    <cellStyle name="货币 3 4" xfId="1666"/>
    <cellStyle name="货币 3 4 2" xfId="1667"/>
    <cellStyle name="货币 3 5" xfId="1668"/>
    <cellStyle name="货币 4" xfId="1669"/>
    <cellStyle name="货币 4 2" xfId="541"/>
    <cellStyle name="货币 4 2 2" xfId="1670"/>
    <cellStyle name="货币 4 2 2 2" xfId="1671"/>
    <cellStyle name="货币 4 2 2 2 2" xfId="1672"/>
    <cellStyle name="货币 4 2 2 3" xfId="1673"/>
    <cellStyle name="货币 4 2 3" xfId="1674"/>
    <cellStyle name="货币 4 2 3 2" xfId="1675"/>
    <cellStyle name="货币 4 2 4" xfId="1676"/>
    <cellStyle name="货币 4 3" xfId="1677"/>
    <cellStyle name="货币 4 3 2" xfId="1678"/>
    <cellStyle name="货币 4 3 2 2" xfId="1679"/>
    <cellStyle name="货币 4 3 3" xfId="1680"/>
    <cellStyle name="货币 4 4" xfId="1681"/>
    <cellStyle name="货币 4 4 2" xfId="1682"/>
    <cellStyle name="货币 4 5" xfId="1683"/>
    <cellStyle name="货币 5" xfId="1684"/>
    <cellStyle name="货币 5 2" xfId="546"/>
    <cellStyle name="货币 5 2 2" xfId="488"/>
    <cellStyle name="货币 5 3" xfId="1685"/>
    <cellStyle name="货币 6" xfId="1686"/>
    <cellStyle name="货币 6 2" xfId="1687"/>
    <cellStyle name="货币 7" xfId="1688"/>
    <cellStyle name="货币 7 2" xfId="1689"/>
    <cellStyle name="货币 8" xfId="1690"/>
    <cellStyle name="计算 2" xfId="1691"/>
    <cellStyle name="计算 2 2" xfId="1692"/>
    <cellStyle name="计算 2 2 2" xfId="1693"/>
    <cellStyle name="计算 2 2 2 2" xfId="125"/>
    <cellStyle name="计算 2 2 2 2 2" xfId="1694"/>
    <cellStyle name="计算 2 2 2 2 2 2" xfId="1695"/>
    <cellStyle name="计算 2 2 2 2 3" xfId="1696"/>
    <cellStyle name="计算 2 2 2 3" xfId="1697"/>
    <cellStyle name="计算 2 2 3" xfId="967"/>
    <cellStyle name="计算 2 2 3 2" xfId="1698"/>
    <cellStyle name="计算 2 2 3 2 2" xfId="1699"/>
    <cellStyle name="计算 2 2 3 3" xfId="1700"/>
    <cellStyle name="计算 2 2 4" xfId="127"/>
    <cellStyle name="计算 2 3" xfId="1701"/>
    <cellStyle name="计算 2 3 2" xfId="1283"/>
    <cellStyle name="计算 2 3 2 2" xfId="146"/>
    <cellStyle name="计算 2 3 3" xfId="42"/>
    <cellStyle name="计算 2 4" xfId="1702"/>
    <cellStyle name="计算 3" xfId="1703"/>
    <cellStyle name="计算 3 2" xfId="1704"/>
    <cellStyle name="计算 3 2 2" xfId="1705"/>
    <cellStyle name="计算 3 2 2 2" xfId="171"/>
    <cellStyle name="计算 3 2 2 2 2" xfId="1706"/>
    <cellStyle name="计算 3 2 2 2 2 2" xfId="1707"/>
    <cellStyle name="计算 3 2 2 2 3" xfId="1708"/>
    <cellStyle name="计算 3 2 2 3" xfId="1709"/>
    <cellStyle name="计算 3 2 3" xfId="1710"/>
    <cellStyle name="计算 3 2 3 2" xfId="1711"/>
    <cellStyle name="计算 3 2 3 2 2" xfId="1712"/>
    <cellStyle name="计算 3 2 3 3" xfId="1713"/>
    <cellStyle name="计算 3 2 4" xfId="149"/>
    <cellStyle name="计算 3 3" xfId="1714"/>
    <cellStyle name="计算 3 3 2" xfId="1302"/>
    <cellStyle name="计算 3 3 2 2" xfId="189"/>
    <cellStyle name="计算 3 3 3" xfId="1307"/>
    <cellStyle name="计算 3 4" xfId="1072"/>
    <cellStyle name="检查单元格 2" xfId="1715"/>
    <cellStyle name="检查单元格 2 2" xfId="1716"/>
    <cellStyle name="检查单元格 2 2 2" xfId="1187"/>
    <cellStyle name="检查单元格 2 2 2 2" xfId="584"/>
    <cellStyle name="检查单元格 2 2 2 2 2" xfId="1189"/>
    <cellStyle name="检查单元格 2 2 2 2 2 2" xfId="1717"/>
    <cellStyle name="检查单元格 2 2 2 2 3" xfId="1718"/>
    <cellStyle name="检查单元格 2 2 2 3" xfId="1191"/>
    <cellStyle name="检查单元格 2 2 3" xfId="1193"/>
    <cellStyle name="检查单元格 2 2 3 2" xfId="1719"/>
    <cellStyle name="检查单元格 2 2 3 2 2" xfId="1720"/>
    <cellStyle name="检查单元格 2 2 3 3" xfId="1721"/>
    <cellStyle name="检查单元格 2 2 4" xfId="1722"/>
    <cellStyle name="检查单元格 2 3" xfId="1723"/>
    <cellStyle name="检查单元格 2 3 2" xfId="1724"/>
    <cellStyle name="检查单元格 2 3 2 2" xfId="1725"/>
    <cellStyle name="检查单元格 2 3 3" xfId="1726"/>
    <cellStyle name="检查单元格 2 4" xfId="1221"/>
    <cellStyle name="检查单元格 3" xfId="1728"/>
    <cellStyle name="检查单元格 3 2" xfId="1730"/>
    <cellStyle name="检查单元格 3 2 2" xfId="1230"/>
    <cellStyle name="检查单元格 3 2 2 2" xfId="1232"/>
    <cellStyle name="检查单元格 3 2 2 2 2" xfId="1234"/>
    <cellStyle name="检查单元格 3 2 2 2 2 2" xfId="1732"/>
    <cellStyle name="检查单元格 3 2 2 2 3" xfId="1733"/>
    <cellStyle name="检查单元格 3 2 2 3" xfId="1236"/>
    <cellStyle name="检查单元格 3 2 3" xfId="1238"/>
    <cellStyle name="检查单元格 3 2 3 2" xfId="527"/>
    <cellStyle name="检查单元格 3 2 3 2 2" xfId="1734"/>
    <cellStyle name="检查单元格 3 2 3 3" xfId="1735"/>
    <cellStyle name="检查单元格 3 2 4" xfId="1738"/>
    <cellStyle name="检查单元格 3 3" xfId="1739"/>
    <cellStyle name="检查单元格 3 3 2" xfId="1740"/>
    <cellStyle name="检查单元格 3 3 2 2" xfId="1742"/>
    <cellStyle name="检查单元格 3 3 3" xfId="1743"/>
    <cellStyle name="检查单元格 3 4" xfId="1744"/>
    <cellStyle name="解释性文本 2" xfId="657"/>
    <cellStyle name="解释性文本 2 2" xfId="1745"/>
    <cellStyle name="解释性文本 2 2 2" xfId="1746"/>
    <cellStyle name="解释性文本 2 2 2 2" xfId="1747"/>
    <cellStyle name="解释性文本 2 2 2 2 2" xfId="1748"/>
    <cellStyle name="解释性文本 2 2 2 2 2 2" xfId="1749"/>
    <cellStyle name="解释性文本 2 2 2 2 3" xfId="1750"/>
    <cellStyle name="解释性文本 2 2 2 3" xfId="1751"/>
    <cellStyle name="解释性文本 2 2 3" xfId="1752"/>
    <cellStyle name="解释性文本 2 2 3 2" xfId="1753"/>
    <cellStyle name="解释性文本 2 2 3 2 2" xfId="1754"/>
    <cellStyle name="解释性文本 2 2 3 3" xfId="1755"/>
    <cellStyle name="解释性文本 2 2 4" xfId="757"/>
    <cellStyle name="解释性文本 2 3" xfId="1757"/>
    <cellStyle name="解释性文本 2 3 2" xfId="1737"/>
    <cellStyle name="解释性文本 2 3 2 2" xfId="1759"/>
    <cellStyle name="解释性文本 2 3 3" xfId="1761"/>
    <cellStyle name="解释性文本 2 4" xfId="1588"/>
    <cellStyle name="解释性文本 3" xfId="1762"/>
    <cellStyle name="解释性文本 3 2" xfId="479"/>
    <cellStyle name="解释性文本 3 2 2" xfId="1763"/>
    <cellStyle name="解释性文本 3 2 2 2" xfId="1764"/>
    <cellStyle name="解释性文本 3 2 2 2 2" xfId="1765"/>
    <cellStyle name="解释性文本 3 2 2 2 2 2" xfId="1766"/>
    <cellStyle name="解释性文本 3 2 2 2 3" xfId="1767"/>
    <cellStyle name="解释性文本 3 2 2 3" xfId="1768"/>
    <cellStyle name="解释性文本 3 2 3" xfId="1769"/>
    <cellStyle name="解释性文本 3 2 3 2" xfId="1771"/>
    <cellStyle name="解释性文本 3 2 3 2 2" xfId="1773"/>
    <cellStyle name="解释性文本 3 2 3 3" xfId="1775"/>
    <cellStyle name="解释性文本 3 2 4" xfId="871"/>
    <cellStyle name="解释性文本 3 3" xfId="1777"/>
    <cellStyle name="解释性文本 3 3 2" xfId="1779"/>
    <cellStyle name="解释性文本 3 3 2 2" xfId="1780"/>
    <cellStyle name="解释性文本 3 3 3" xfId="1781"/>
    <cellStyle name="解释性文本 3 4" xfId="1783"/>
    <cellStyle name="警告文本 2" xfId="1784"/>
    <cellStyle name="警告文本 2 2" xfId="1785"/>
    <cellStyle name="警告文本 2 2 2" xfId="1584"/>
    <cellStyle name="警告文本 2 2 2 2" xfId="1456"/>
    <cellStyle name="警告文本 2 2 2 2 2" xfId="1587"/>
    <cellStyle name="警告文本 2 2 2 2 2 2" xfId="1786"/>
    <cellStyle name="警告文本 2 2 2 2 3" xfId="1787"/>
    <cellStyle name="警告文本 2 2 2 3" xfId="1590"/>
    <cellStyle name="警告文本 2 2 3" xfId="1592"/>
    <cellStyle name="警告文本 2 2 3 2" xfId="1788"/>
    <cellStyle name="警告文本 2 2 3 2 2" xfId="1789"/>
    <cellStyle name="警告文本 2 2 3 3" xfId="1790"/>
    <cellStyle name="警告文本 2 2 4" xfId="1001"/>
    <cellStyle name="警告文本 2 3" xfId="159"/>
    <cellStyle name="警告文本 2 3 2" xfId="162"/>
    <cellStyle name="警告文本 2 3 2 2" xfId="1791"/>
    <cellStyle name="警告文本 2 3 3" xfId="1792"/>
    <cellStyle name="警告文本 2 4" xfId="166"/>
    <cellStyle name="警告文本 3" xfId="1793"/>
    <cellStyle name="警告文本 3 2" xfId="1794"/>
    <cellStyle name="警告文本 3 2 2" xfId="1607"/>
    <cellStyle name="警告文本 3 2 2 2" xfId="1609"/>
    <cellStyle name="警告文本 3 2 2 2 2" xfId="1611"/>
    <cellStyle name="警告文本 3 2 2 2 2 2" xfId="1795"/>
    <cellStyle name="警告文本 3 2 2 2 3" xfId="1796"/>
    <cellStyle name="警告文本 3 2 2 3" xfId="1613"/>
    <cellStyle name="警告文本 3 2 3" xfId="1615"/>
    <cellStyle name="警告文本 3 2 3 2" xfId="1797"/>
    <cellStyle name="警告文本 3 2 3 2 2" xfId="847"/>
    <cellStyle name="警告文本 3 2 3 3" xfId="1798"/>
    <cellStyle name="警告文本 3 2 4" xfId="1800"/>
    <cellStyle name="警告文本 3 3" xfId="1801"/>
    <cellStyle name="警告文本 3 3 2" xfId="1620"/>
    <cellStyle name="警告文本 3 3 2 2" xfId="1802"/>
    <cellStyle name="警告文本 3 3 3" xfId="1803"/>
    <cellStyle name="警告文本 3 4" xfId="1804"/>
    <cellStyle name="链接单元格 2" xfId="1805"/>
    <cellStyle name="链接单元格 2 2" xfId="1630"/>
    <cellStyle name="链接单元格 2 2 2" xfId="1632"/>
    <cellStyle name="链接单元格 2 2 2 2" xfId="1634"/>
    <cellStyle name="链接单元格 2 2 2 2 2" xfId="1806"/>
    <cellStyle name="链接单元格 2 2 2 2 2 2" xfId="1807"/>
    <cellStyle name="链接单元格 2 2 2 2 3" xfId="1808"/>
    <cellStyle name="链接单元格 2 2 2 3" xfId="1809"/>
    <cellStyle name="链接单元格 2 2 3" xfId="55"/>
    <cellStyle name="链接单元格 2 2 3 2" xfId="1810"/>
    <cellStyle name="链接单元格 2 2 3 2 2" xfId="1811"/>
    <cellStyle name="链接单元格 2 2 3 3" xfId="1812"/>
    <cellStyle name="链接单元格 2 2 4" xfId="1813"/>
    <cellStyle name="链接单元格 2 3" xfId="1636"/>
    <cellStyle name="链接单元格 2 3 2" xfId="1573"/>
    <cellStyle name="链接单元格 2 3 2 2" xfId="641"/>
    <cellStyle name="链接单元格 2 3 3" xfId="1814"/>
    <cellStyle name="链接单元格 2 4" xfId="1638"/>
    <cellStyle name="链接单元格 3" xfId="1815"/>
    <cellStyle name="链接单元格 3 2" xfId="1643"/>
    <cellStyle name="链接单元格 3 2 2" xfId="1816"/>
    <cellStyle name="链接单元格 3 2 2 2" xfId="1756"/>
    <cellStyle name="链接单元格 3 2 2 2 2" xfId="1736"/>
    <cellStyle name="链接单元格 3 2 2 2 2 2" xfId="1758"/>
    <cellStyle name="链接单元格 3 2 2 2 3" xfId="1760"/>
    <cellStyle name="链接单元格 3 2 2 3" xfId="1586"/>
    <cellStyle name="链接单元格 3 2 3" xfId="1817"/>
    <cellStyle name="链接单元格 3 2 3 2" xfId="1776"/>
    <cellStyle name="链接单元格 3 2 3 2 2" xfId="1778"/>
    <cellStyle name="链接单元格 3 2 3 3" xfId="1782"/>
    <cellStyle name="链接单元格 3 2 4" xfId="1818"/>
    <cellStyle name="链接单元格 3 3" xfId="927"/>
    <cellStyle name="链接单元格 3 3 2" xfId="1819"/>
    <cellStyle name="链接单元格 3 3 2 2" xfId="670"/>
    <cellStyle name="链接单元格 3 3 3" xfId="1820"/>
    <cellStyle name="链接单元格 3 4" xfId="1821"/>
    <cellStyle name="千位分隔 2" xfId="1822"/>
    <cellStyle name="千位分隔 2 2" xfId="1823"/>
    <cellStyle name="千位分隔 2 2 2" xfId="1824"/>
    <cellStyle name="千位分隔 2 3" xfId="1825"/>
    <cellStyle name="强调文字颜色 1 2" xfId="795"/>
    <cellStyle name="强调文字颜色 1 2 2" xfId="797"/>
    <cellStyle name="强调文字颜色 1 2 2 2" xfId="799"/>
    <cellStyle name="强调文字颜色 1 2 2 2 2" xfId="1826"/>
    <cellStyle name="强调文字颜色 1 2 2 2 2 2" xfId="1827"/>
    <cellStyle name="强调文字颜色 1 2 2 2 2 2 2" xfId="1828"/>
    <cellStyle name="强调文字颜色 1 2 2 2 2 3" xfId="1829"/>
    <cellStyle name="强调文字颜色 1 2 2 2 3" xfId="1830"/>
    <cellStyle name="强调文字颜色 1 2 2 3" xfId="1831"/>
    <cellStyle name="强调文字颜色 1 2 2 3 2" xfId="1832"/>
    <cellStyle name="强调文字颜色 1 2 2 3 2 2" xfId="1833"/>
    <cellStyle name="强调文字颜色 1 2 2 3 3" xfId="1834"/>
    <cellStyle name="强调文字颜色 1 2 2 4" xfId="1835"/>
    <cellStyle name="强调文字颜色 1 2 3" xfId="801"/>
    <cellStyle name="强调文字颜色 1 2 3 2" xfId="1836"/>
    <cellStyle name="强调文字颜色 1 2 3 2 2" xfId="1435"/>
    <cellStyle name="强调文字颜色 1 2 3 3" xfId="1837"/>
    <cellStyle name="强调文字颜色 1 2 4" xfId="1838"/>
    <cellStyle name="强调文字颜色 1 3" xfId="803"/>
    <cellStyle name="强调文字颜色 1 3 2" xfId="1839"/>
    <cellStyle name="强调文字颜色 1 3 2 2" xfId="1179"/>
    <cellStyle name="强调文字颜色 1 3 2 2 2" xfId="323"/>
    <cellStyle name="强调文字颜色 1 3 2 2 2 2" xfId="1840"/>
    <cellStyle name="强调文字颜色 1 3 2 2 2 2 2" xfId="1841"/>
    <cellStyle name="强调文字颜色 1 3 2 2 2 3" xfId="1842"/>
    <cellStyle name="强调文字颜色 1 3 2 2 3" xfId="1843"/>
    <cellStyle name="强调文字颜色 1 3 2 3" xfId="1731"/>
    <cellStyle name="强调文字颜色 1 3 2 3 2" xfId="1844"/>
    <cellStyle name="强调文字颜色 1 3 2 3 2 2" xfId="1845"/>
    <cellStyle name="强调文字颜色 1 3 2 3 3" xfId="1846"/>
    <cellStyle name="强调文字颜色 1 3 2 4" xfId="1847"/>
    <cellStyle name="强调文字颜色 1 3 3" xfId="1848"/>
    <cellStyle name="强调文字颜色 1 3 3 2" xfId="1849"/>
    <cellStyle name="强调文字颜色 1 3 3 2 2" xfId="1450"/>
    <cellStyle name="强调文字颜色 1 3 3 3" xfId="1850"/>
    <cellStyle name="强调文字颜色 1 3 4" xfId="1389"/>
    <cellStyle name="强调文字颜色 2 2" xfId="805"/>
    <cellStyle name="强调文字颜色 2 2 2" xfId="808"/>
    <cellStyle name="强调文字颜色 2 2 2 2" xfId="111"/>
    <cellStyle name="强调文字颜色 2 2 2 2 2" xfId="113"/>
    <cellStyle name="强调文字颜色 2 2 2 2 2 2" xfId="115"/>
    <cellStyle name="强调文字颜色 2 2 2 2 2 2 2" xfId="103"/>
    <cellStyle name="强调文字颜色 2 2 2 2 2 3" xfId="119"/>
    <cellStyle name="强调文字颜色 2 2 2 2 3" xfId="121"/>
    <cellStyle name="强调文字颜色 2 2 2 3" xfId="152"/>
    <cellStyle name="强调文字颜色 2 2 2 3 2" xfId="154"/>
    <cellStyle name="强调文字颜色 2 2 2 3 2 2" xfId="156"/>
    <cellStyle name="强调文字颜色 2 2 2 3 3" xfId="44"/>
    <cellStyle name="强调文字颜色 2 2 2 4" xfId="1851"/>
    <cellStyle name="强调文字颜色 2 2 3" xfId="1852"/>
    <cellStyle name="强调文字颜色 2 2 3 2" xfId="236"/>
    <cellStyle name="强调文字颜色 2 2 3 2 2" xfId="239"/>
    <cellStyle name="强调文字颜色 2 2 3 3" xfId="272"/>
    <cellStyle name="强调文字颜色 2 2 4" xfId="1853"/>
    <cellStyle name="强调文字颜色 2 3" xfId="810"/>
    <cellStyle name="强调文字颜色 2 3 2" xfId="6"/>
    <cellStyle name="强调文字颜色 2 3 2 2" xfId="1855"/>
    <cellStyle name="强调文字颜色 2 3 2 2 2" xfId="318"/>
    <cellStyle name="强调文字颜色 2 3 2 2 2 2" xfId="1857"/>
    <cellStyle name="强调文字颜色 2 3 2 2 2 2 2" xfId="1859"/>
    <cellStyle name="强调文字颜色 2 3 2 2 2 3" xfId="1861"/>
    <cellStyle name="强调文字颜色 2 3 2 2 3" xfId="1863"/>
    <cellStyle name="强调文字颜色 2 3 2 3" xfId="1865"/>
    <cellStyle name="强调文字颜色 2 3 2 3 2" xfId="1867"/>
    <cellStyle name="强调文字颜色 2 3 2 3 2 2" xfId="1869"/>
    <cellStyle name="强调文字颜色 2 3 2 3 3" xfId="1871"/>
    <cellStyle name="强调文字颜色 2 3 2 4" xfId="1872"/>
    <cellStyle name="强调文字颜色 2 3 3" xfId="1552"/>
    <cellStyle name="强调文字颜色 2 3 3 2" xfId="1554"/>
    <cellStyle name="强调文字颜色 2 3 3 2 2" xfId="1556"/>
    <cellStyle name="强调文字颜色 2 3 3 3" xfId="1558"/>
    <cellStyle name="强调文字颜色 2 3 4" xfId="1409"/>
    <cellStyle name="强调文字颜色 3 2" xfId="1488"/>
    <cellStyle name="强调文字颜色 3 2 2" xfId="1873"/>
    <cellStyle name="强调文字颜色 3 2 2 2" xfId="1874"/>
    <cellStyle name="强调文字颜色 3 2 2 2 2" xfId="1875"/>
    <cellStyle name="强调文字颜色 3 2 2 2 2 2" xfId="1876"/>
    <cellStyle name="强调文字颜色 3 2 2 2 2 2 2" xfId="1877"/>
    <cellStyle name="强调文字颜色 3 2 2 2 2 3" xfId="1878"/>
    <cellStyle name="强调文字颜色 3 2 2 2 3" xfId="1879"/>
    <cellStyle name="强调文字颜色 3 2 2 3" xfId="1880"/>
    <cellStyle name="强调文字颜色 3 2 2 3 2" xfId="1881"/>
    <cellStyle name="强调文字颜色 3 2 2 3 2 2" xfId="1665"/>
    <cellStyle name="强调文字颜色 3 2 2 3 3" xfId="1882"/>
    <cellStyle name="强调文字颜色 3 2 2 4" xfId="1883"/>
    <cellStyle name="强调文字颜色 3 2 3" xfId="1770"/>
    <cellStyle name="强调文字颜色 3 2 3 2" xfId="1772"/>
    <cellStyle name="强调文字颜色 3 2 3 2 2" xfId="1884"/>
    <cellStyle name="强调文字颜色 3 2 3 3" xfId="1275"/>
    <cellStyle name="强调文字颜色 3 2 4" xfId="1774"/>
    <cellStyle name="强调文字颜色 3 3" xfId="1885"/>
    <cellStyle name="强调文字颜色 3 3 2" xfId="1886"/>
    <cellStyle name="强调文字颜色 3 3 2 2" xfId="1887"/>
    <cellStyle name="强调文字颜色 3 3 2 2 2" xfId="364"/>
    <cellStyle name="强调文字颜色 3 3 2 2 2 2" xfId="1888"/>
    <cellStyle name="强调文字颜色 3 3 2 2 2 2 2" xfId="1405"/>
    <cellStyle name="强调文字颜色 3 3 2 2 2 3" xfId="1889"/>
    <cellStyle name="强调文字颜色 3 3 2 2 3" xfId="1890"/>
    <cellStyle name="强调文字颜色 3 3 2 3" xfId="1891"/>
    <cellStyle name="强调文字颜色 3 3 2 3 2" xfId="1892"/>
    <cellStyle name="强调文字颜色 3 3 2 3 2 2" xfId="1893"/>
    <cellStyle name="强调文字颜色 3 3 2 3 3" xfId="1894"/>
    <cellStyle name="强调文字颜色 3 3 2 4" xfId="1895"/>
    <cellStyle name="强调文字颜色 3 3 3" xfId="874"/>
    <cellStyle name="强调文字颜色 3 3 3 2" xfId="877"/>
    <cellStyle name="强调文字颜色 3 3 3 2 2" xfId="879"/>
    <cellStyle name="强调文字颜色 3 3 3 3" xfId="881"/>
    <cellStyle name="强调文字颜色 3 3 4" xfId="884"/>
    <cellStyle name="强调文字颜色 4 2" xfId="1896"/>
    <cellStyle name="强调文字颜色 4 2 2" xfId="1897"/>
    <cellStyle name="强调文字颜色 4 2 2 2" xfId="1898"/>
    <cellStyle name="强调文字颜色 4 2 2 2 2" xfId="1899"/>
    <cellStyle name="强调文字颜色 4 2 2 2 2 2" xfId="1900"/>
    <cellStyle name="强调文字颜色 4 2 2 2 2 2 2" xfId="1901"/>
    <cellStyle name="强调文字颜色 4 2 2 2 2 3" xfId="1902"/>
    <cellStyle name="强调文字颜色 4 2 2 2 3" xfId="1903"/>
    <cellStyle name="强调文字颜色 4 2 2 3" xfId="1904"/>
    <cellStyle name="强调文字颜色 4 2 2 3 2" xfId="1291"/>
    <cellStyle name="强调文字颜色 4 2 2 3 2 2" xfId="1905"/>
    <cellStyle name="强调文字颜色 4 2 2 3 3" xfId="1741"/>
    <cellStyle name="强调文字颜色 4 2 2 4" xfId="303"/>
    <cellStyle name="强调文字颜色 4 2 3" xfId="1906"/>
    <cellStyle name="强调文字颜色 4 2 3 2" xfId="1907"/>
    <cellStyle name="强调文字颜色 4 2 3 2 2" xfId="1908"/>
    <cellStyle name="强调文字颜色 4 2 3 3" xfId="1909"/>
    <cellStyle name="强调文字颜色 4 2 4" xfId="1910"/>
    <cellStyle name="强调文字颜色 4 3" xfId="1911"/>
    <cellStyle name="强调文字颜色 4 3 2" xfId="1912"/>
    <cellStyle name="强调文字颜色 4 3 2 2" xfId="1913"/>
    <cellStyle name="强调文字颜色 4 3 2 2 2" xfId="326"/>
    <cellStyle name="强调文字颜色 4 3 2 2 2 2" xfId="1914"/>
    <cellStyle name="强调文字颜色 4 3 2 2 2 2 2" xfId="646"/>
    <cellStyle name="强调文字颜色 4 3 2 2 2 3" xfId="1915"/>
    <cellStyle name="强调文字颜色 4 3 2 2 3" xfId="1916"/>
    <cellStyle name="强调文字颜色 4 3 2 3" xfId="1917"/>
    <cellStyle name="强调文字颜色 4 3 2 3 2" xfId="1918"/>
    <cellStyle name="强调文字颜色 4 3 2 3 2 2" xfId="1919"/>
    <cellStyle name="强调文字颜色 4 3 2 3 3" xfId="1920"/>
    <cellStyle name="强调文字颜色 4 3 2 4" xfId="1921"/>
    <cellStyle name="强调文字颜色 4 3 3" xfId="909"/>
    <cellStyle name="强调文字颜色 4 3 3 2" xfId="911"/>
    <cellStyle name="强调文字颜色 4 3 3 2 2" xfId="913"/>
    <cellStyle name="强调文字颜色 4 3 3 3" xfId="915"/>
    <cellStyle name="强调文字颜色 4 3 4" xfId="917"/>
    <cellStyle name="强调文字颜色 5 2" xfId="1922"/>
    <cellStyle name="强调文字颜色 5 2 2" xfId="1923"/>
    <cellStyle name="强调文字颜色 5 2 2 2" xfId="1924"/>
    <cellStyle name="强调文字颜色 5 2 2 2 2" xfId="986"/>
    <cellStyle name="强调文字颜色 5 2 2 2 2 2" xfId="1925"/>
    <cellStyle name="强调文字颜色 5 2 2 2 2 2 2" xfId="1926"/>
    <cellStyle name="强调文字颜色 5 2 2 2 2 3" xfId="1927"/>
    <cellStyle name="强调文字颜色 5 2 2 2 3" xfId="1928"/>
    <cellStyle name="强调文字颜色 5 2 2 3" xfId="1929"/>
    <cellStyle name="强调文字颜色 5 2 2 3 2" xfId="1930"/>
    <cellStyle name="强调文字颜色 5 2 2 3 2 2" xfId="1931"/>
    <cellStyle name="强调文字颜色 5 2 2 3 3" xfId="1932"/>
    <cellStyle name="强调文字颜色 5 2 2 4" xfId="543"/>
    <cellStyle name="强调文字颜色 5 2 3" xfId="1933"/>
    <cellStyle name="强调文字颜色 5 2 3 2" xfId="1934"/>
    <cellStyle name="强调文字颜色 5 2 3 2 2" xfId="1012"/>
    <cellStyle name="强调文字颜色 5 2 3 3" xfId="1935"/>
    <cellStyle name="强调文字颜色 5 2 4" xfId="1936"/>
    <cellStyle name="强调文字颜色 5 3" xfId="998"/>
    <cellStyle name="强调文字颜色 5 3 2" xfId="1000"/>
    <cellStyle name="强调文字颜色 5 3 2 2" xfId="1937"/>
    <cellStyle name="强调文字颜色 5 3 2 2 2" xfId="1938"/>
    <cellStyle name="强调文字颜色 5 3 2 2 2 2" xfId="1939"/>
    <cellStyle name="强调文字颜色 5 3 2 2 2 2 2" xfId="1940"/>
    <cellStyle name="强调文字颜色 5 3 2 2 2 3" xfId="1941"/>
    <cellStyle name="强调文字颜色 5 3 2 2 3" xfId="1942"/>
    <cellStyle name="强调文字颜色 5 3 2 3" xfId="820"/>
    <cellStyle name="强调文字颜色 5 3 2 3 2" xfId="1727"/>
    <cellStyle name="强调文字颜色 5 3 2 3 2 2" xfId="1729"/>
    <cellStyle name="强调文字颜色 5 3 2 3 3" xfId="1943"/>
    <cellStyle name="强调文字颜色 5 3 2 4" xfId="1944"/>
    <cellStyle name="强调文字颜色 5 3 3" xfId="938"/>
    <cellStyle name="强调文字颜色 5 3 3 2" xfId="940"/>
    <cellStyle name="强调文字颜色 5 3 3 2 2" xfId="942"/>
    <cellStyle name="强调文字颜色 5 3 3 3" xfId="944"/>
    <cellStyle name="强调文字颜色 5 3 4" xfId="946"/>
    <cellStyle name="强调文字颜色 6 2" xfId="1945"/>
    <cellStyle name="强调文字颜色 6 2 2" xfId="1946"/>
    <cellStyle name="强调文字颜色 6 2 2 2" xfId="1947"/>
    <cellStyle name="强调文字颜色 6 2 2 2 2" xfId="1948"/>
    <cellStyle name="强调文字颜色 6 2 2 2 2 2" xfId="532"/>
    <cellStyle name="强调文字颜色 6 2 2 2 2 2 2" xfId="321"/>
    <cellStyle name="强调文字颜色 6 2 2 2 2 3" xfId="494"/>
    <cellStyle name="强调文字颜色 6 2 2 2 3" xfId="1949"/>
    <cellStyle name="强调文字颜色 6 2 2 3" xfId="1950"/>
    <cellStyle name="强调文字颜色 6 2 2 3 2" xfId="1951"/>
    <cellStyle name="强调文字颜色 6 2 2 3 2 2" xfId="1952"/>
    <cellStyle name="强调文字颜色 6 2 2 3 3" xfId="1953"/>
    <cellStyle name="强调文字颜色 6 2 2 4" xfId="91"/>
    <cellStyle name="强调文字颜色 6 2 3" xfId="1954"/>
    <cellStyle name="强调文字颜色 6 2 3 2" xfId="1955"/>
    <cellStyle name="强调文字颜色 6 2 3 2 2" xfId="1956"/>
    <cellStyle name="强调文字颜色 6 2 3 3" xfId="1957"/>
    <cellStyle name="强调文字颜色 6 2 4" xfId="1958"/>
    <cellStyle name="强调文字颜色 6 3" xfId="1959"/>
    <cellStyle name="强调文字颜色 6 3 2" xfId="1799"/>
    <cellStyle name="强调文字颜色 6 3 2 2" xfId="1960"/>
    <cellStyle name="强调文字颜色 6 3 2 2 2" xfId="1961"/>
    <cellStyle name="强调文字颜色 6 3 2 2 2 2" xfId="1962"/>
    <cellStyle name="强调文字颜色 6 3 2 2 2 2 2" xfId="1963"/>
    <cellStyle name="强调文字颜色 6 3 2 2 2 3" xfId="1964"/>
    <cellStyle name="强调文字颜色 6 3 2 2 3" xfId="1965"/>
    <cellStyle name="强调文字颜色 6 3 2 3" xfId="828"/>
    <cellStyle name="强调文字颜色 6 3 2 3 2" xfId="830"/>
    <cellStyle name="强调文字颜色 6 3 2 3 2 2" xfId="1966"/>
    <cellStyle name="强调文字颜色 6 3 2 3 3" xfId="1967"/>
    <cellStyle name="强调文字颜色 6 3 2 4" xfId="833"/>
    <cellStyle name="强调文字颜色 6 3 3" xfId="1968"/>
    <cellStyle name="强调文字颜色 6 3 3 2" xfId="1969"/>
    <cellStyle name="强调文字颜色 6 3 3 2 2" xfId="1970"/>
    <cellStyle name="强调文字颜色 6 3 3 3" xfId="1971"/>
    <cellStyle name="强调文字颜色 6 3 4" xfId="1972"/>
    <cellStyle name="适中 2" xfId="1202"/>
    <cellStyle name="适中 2 2" xfId="1204"/>
    <cellStyle name="适中 2 2 2" xfId="1206"/>
    <cellStyle name="适中 2 2 2 2" xfId="1973"/>
    <cellStyle name="适中 2 2 2 2 2" xfId="1974"/>
    <cellStyle name="适中 2 2 2 2 2 2" xfId="717"/>
    <cellStyle name="适中 2 2 2 2 3" xfId="1111"/>
    <cellStyle name="适中 2 2 2 3" xfId="1304"/>
    <cellStyle name="适中 2 2 3" xfId="1975"/>
    <cellStyle name="适中 2 2 3 2" xfId="1976"/>
    <cellStyle name="适中 2 2 3 2 2" xfId="1977"/>
    <cellStyle name="适中 2 2 3 3" xfId="1978"/>
    <cellStyle name="适中 2 2 4" xfId="1979"/>
    <cellStyle name="适中 2 3" xfId="1208"/>
    <cellStyle name="适中 2 3 2" xfId="1980"/>
    <cellStyle name="适中 2 3 2 2" xfId="1981"/>
    <cellStyle name="适中 2 3 3" xfId="1982"/>
    <cellStyle name="适中 2 4" xfId="555"/>
    <cellStyle name="适中 3" xfId="1210"/>
    <cellStyle name="适中 3 2" xfId="1983"/>
    <cellStyle name="适中 3 2 2" xfId="1984"/>
    <cellStyle name="适中 3 2 2 2" xfId="1985"/>
    <cellStyle name="适中 3 2 2 2 2" xfId="73"/>
    <cellStyle name="适中 3 2 2 2 2 2" xfId="832"/>
    <cellStyle name="适中 3 2 2 2 3" xfId="78"/>
    <cellStyle name="适中 3 2 2 3" xfId="1986"/>
    <cellStyle name="适中 3 2 3" xfId="1317"/>
    <cellStyle name="适中 3 2 3 2" xfId="1319"/>
    <cellStyle name="适中 3 2 3 2 2" xfId="1987"/>
    <cellStyle name="适中 3 2 3 3" xfId="1988"/>
    <cellStyle name="适中 3 2 4" xfId="1321"/>
    <cellStyle name="适中 3 3" xfId="1989"/>
    <cellStyle name="适中 3 3 2" xfId="1990"/>
    <cellStyle name="适中 3 3 2 2" xfId="1991"/>
    <cellStyle name="适中 3 3 3" xfId="1992"/>
    <cellStyle name="适中 3 4" xfId="1993"/>
    <cellStyle name="输出 2" xfId="65"/>
    <cellStyle name="输出 2 2" xfId="195"/>
    <cellStyle name="输出 2 2 2" xfId="198"/>
    <cellStyle name="输出 2 2 2 2" xfId="1994"/>
    <cellStyle name="输出 2 2 2 2 2" xfId="1995"/>
    <cellStyle name="输出 2 2 2 2 2 2" xfId="1996"/>
    <cellStyle name="输出 2 2 2 2 3" xfId="1997"/>
    <cellStyle name="输出 2 2 2 3" xfId="1998"/>
    <cellStyle name="输出 2 2 3" xfId="857"/>
    <cellStyle name="输出 2 2 3 2" xfId="859"/>
    <cellStyle name="输出 2 2 3 2 2" xfId="861"/>
    <cellStyle name="输出 2 2 3 3" xfId="865"/>
    <cellStyle name="输出 2 2 4" xfId="220"/>
    <cellStyle name="输出 2 3" xfId="234"/>
    <cellStyle name="输出 2 3 2" xfId="1999"/>
    <cellStyle name="输出 2 3 2 2" xfId="2000"/>
    <cellStyle name="输出 2 3 3" xfId="723"/>
    <cellStyle name="输出 2 4" xfId="2001"/>
    <cellStyle name="输出 3" xfId="3"/>
    <cellStyle name="输出 3 2" xfId="2002"/>
    <cellStyle name="输出 3 2 2" xfId="2003"/>
    <cellStyle name="输出 3 2 2 2" xfId="2004"/>
    <cellStyle name="输出 3 2 2 2 2" xfId="2005"/>
    <cellStyle name="输出 3 2 2 2 2 2" xfId="2006"/>
    <cellStyle name="输出 3 2 2 2 3" xfId="2007"/>
    <cellStyle name="输出 3 2 2 3" xfId="807"/>
    <cellStyle name="输出 3 2 3" xfId="2008"/>
    <cellStyle name="输出 3 2 3 2" xfId="2009"/>
    <cellStyle name="输出 3 2 3 2 2" xfId="2010"/>
    <cellStyle name="输出 3 2 3 3" xfId="5"/>
    <cellStyle name="输出 3 2 4" xfId="328"/>
    <cellStyle name="输出 3 3" xfId="2011"/>
    <cellStyle name="输出 3 3 2" xfId="2012"/>
    <cellStyle name="输出 3 3 2 2" xfId="2013"/>
    <cellStyle name="输出 3 3 3" xfId="735"/>
    <cellStyle name="输出 3 4" xfId="2014"/>
    <cellStyle name="输入 2" xfId="1854"/>
    <cellStyle name="输入 2 2" xfId="317"/>
    <cellStyle name="输入 2 2 2" xfId="1856"/>
    <cellStyle name="输入 2 2 2 2" xfId="1858"/>
    <cellStyle name="输入 2 2 2 2 2" xfId="2015"/>
    <cellStyle name="输入 2 2 2 2 2 2" xfId="2016"/>
    <cellStyle name="输入 2 2 2 2 3" xfId="2017"/>
    <cellStyle name="输入 2 2 2 3" xfId="2018"/>
    <cellStyle name="输入 2 2 3" xfId="1860"/>
    <cellStyle name="输入 2 2 3 2" xfId="2019"/>
    <cellStyle name="输入 2 2 3 2 2" xfId="2020"/>
    <cellStyle name="输入 2 2 3 3" xfId="2021"/>
    <cellStyle name="输入 2 2 4" xfId="2022"/>
    <cellStyle name="输入 2 3" xfId="1862"/>
    <cellStyle name="输入 2 3 2" xfId="2023"/>
    <cellStyle name="输入 2 3 2 2" xfId="2025"/>
    <cellStyle name="输入 2 3 3" xfId="2026"/>
    <cellStyle name="输入 2 4" xfId="633"/>
    <cellStyle name="输入 3" xfId="1864"/>
    <cellStyle name="输入 3 2" xfId="1866"/>
    <cellStyle name="输入 3 2 2" xfId="1868"/>
    <cellStyle name="输入 3 2 2 2" xfId="2027"/>
    <cellStyle name="输入 3 2 2 2 2" xfId="2028"/>
    <cellStyle name="输入 3 2 2 2 2 2" xfId="2029"/>
    <cellStyle name="输入 3 2 2 2 3" xfId="1562"/>
    <cellStyle name="输入 3 2 2 3" xfId="2030"/>
    <cellStyle name="输入 3 2 3" xfId="2031"/>
    <cellStyle name="输入 3 2 3 2" xfId="2032"/>
    <cellStyle name="输入 3 2 3 2 2" xfId="2033"/>
    <cellStyle name="输入 3 2 3 3" xfId="2034"/>
    <cellStyle name="输入 3 2 4" xfId="1315"/>
    <cellStyle name="输入 3 3" xfId="1870"/>
    <cellStyle name="输入 3 3 2" xfId="2035"/>
    <cellStyle name="输入 3 3 2 2" xfId="2036"/>
    <cellStyle name="输入 3 3 3" xfId="2037"/>
    <cellStyle name="输入 3 4" xfId="2038"/>
    <cellStyle name="注释 2" xfId="1104"/>
    <cellStyle name="注释 2 2" xfId="1106"/>
    <cellStyle name="注释 2 2 2" xfId="1108"/>
    <cellStyle name="注释 2 2 2 2" xfId="1110"/>
    <cellStyle name="注释 2 2 2 2 2" xfId="752"/>
    <cellStyle name="注释 2 2 2 2 2 2" xfId="14"/>
    <cellStyle name="注释 2 2 2 2 3" xfId="762"/>
    <cellStyle name="注释 2 2 2 3" xfId="1113"/>
    <cellStyle name="注释 2 2 3" xfId="1115"/>
    <cellStyle name="注释 2 2 3 2" xfId="2039"/>
    <cellStyle name="注释 2 2 3 2 2" xfId="824"/>
    <cellStyle name="注释 2 2 3 3" xfId="2040"/>
    <cellStyle name="注释 2 2 4" xfId="2041"/>
    <cellStyle name="注释 2 3" xfId="1118"/>
    <cellStyle name="注释 2 3 2" xfId="1120"/>
    <cellStyle name="注释 2 3 2 2" xfId="1122"/>
    <cellStyle name="注释 2 3 3" xfId="1124"/>
    <cellStyle name="注释 2 4" xfId="1126"/>
    <cellStyle name="注释 3" xfId="1128"/>
    <cellStyle name="注释 3 2" xfId="1130"/>
    <cellStyle name="注释 3 2 2" xfId="1133"/>
    <cellStyle name="注释 3 2 2 2" xfId="2042"/>
    <cellStyle name="注释 3 2 2 2 2" xfId="2043"/>
    <cellStyle name="注释 3 2 2 2 2 2" xfId="672"/>
    <cellStyle name="注释 3 2 2 2 3" xfId="2044"/>
    <cellStyle name="注释 3 2 2 3" xfId="2045"/>
    <cellStyle name="注释 3 2 3" xfId="2046"/>
    <cellStyle name="注释 3 2 3 2" xfId="9"/>
    <cellStyle name="注释 3 2 3 2 2" xfId="2047"/>
    <cellStyle name="注释 3 2 3 3" xfId="2024"/>
    <cellStyle name="注释 3 2 4" xfId="2048"/>
    <cellStyle name="注释 3 3" xfId="653"/>
    <cellStyle name="注释 3 3 2" xfId="2049"/>
    <cellStyle name="注释 3 3 2 2" xfId="617"/>
    <cellStyle name="注释 3 3 3" xfId="2050"/>
    <cellStyle name="注释 3 4" xfId="205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441960</xdr:colOff>
      <xdr:row>179</xdr:row>
      <xdr:rowOff>0</xdr:rowOff>
    </xdr:from>
    <xdr:to>
      <xdr:col>5</xdr:col>
      <xdr:colOff>0</xdr:colOff>
      <xdr:row>180</xdr:row>
      <xdr:rowOff>53340</xdr:rowOff>
    </xdr:to>
    <xdr:pic>
      <xdr:nvPicPr>
        <xdr:cNvPr id="93" name="图片 1" descr="调较脚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070860" y="82739230"/>
          <a:ext cx="7620" cy="320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99060</xdr:colOff>
      <xdr:row>5</xdr:row>
      <xdr:rowOff>121920</xdr:rowOff>
    </xdr:from>
    <xdr:to>
      <xdr:col>4</xdr:col>
      <xdr:colOff>335280</xdr:colOff>
      <xdr:row>5</xdr:row>
      <xdr:rowOff>389636</xdr:rowOff>
    </xdr:to>
    <xdr:pic>
      <xdr:nvPicPr>
        <xdr:cNvPr id="104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2727960" y="1982470"/>
          <a:ext cx="236220" cy="2673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6</xdr:row>
      <xdr:rowOff>102870</xdr:rowOff>
    </xdr:from>
    <xdr:to>
      <xdr:col>4</xdr:col>
      <xdr:colOff>365760</xdr:colOff>
      <xdr:row>6</xdr:row>
      <xdr:rowOff>360105</xdr:rowOff>
    </xdr:to>
    <xdr:pic>
      <xdr:nvPicPr>
        <xdr:cNvPr id="105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242824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7</xdr:row>
      <xdr:rowOff>127635</xdr:rowOff>
    </xdr:from>
    <xdr:to>
      <xdr:col>4</xdr:col>
      <xdr:colOff>373380</xdr:colOff>
      <xdr:row>7</xdr:row>
      <xdr:rowOff>327660</xdr:rowOff>
    </xdr:to>
    <xdr:pic>
      <xdr:nvPicPr>
        <xdr:cNvPr id="106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291782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8</xdr:row>
      <xdr:rowOff>112395</xdr:rowOff>
    </xdr:from>
    <xdr:to>
      <xdr:col>4</xdr:col>
      <xdr:colOff>365557</xdr:colOff>
      <xdr:row>8</xdr:row>
      <xdr:rowOff>342900</xdr:rowOff>
    </xdr:to>
    <xdr:pic>
      <xdr:nvPicPr>
        <xdr:cNvPr id="107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336740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9</xdr:row>
      <xdr:rowOff>125731</xdr:rowOff>
    </xdr:from>
    <xdr:to>
      <xdr:col>4</xdr:col>
      <xdr:colOff>348025</xdr:colOff>
      <xdr:row>9</xdr:row>
      <xdr:rowOff>365761</xdr:rowOff>
    </xdr:to>
    <xdr:pic>
      <xdr:nvPicPr>
        <xdr:cNvPr id="10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384556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10</xdr:row>
      <xdr:rowOff>144781</xdr:rowOff>
    </xdr:from>
    <xdr:to>
      <xdr:col>4</xdr:col>
      <xdr:colOff>379705</xdr:colOff>
      <xdr:row>10</xdr:row>
      <xdr:rowOff>358141</xdr:rowOff>
    </xdr:to>
    <xdr:pic>
      <xdr:nvPicPr>
        <xdr:cNvPr id="109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432943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74295</xdr:colOff>
      <xdr:row>11</xdr:row>
      <xdr:rowOff>131445</xdr:rowOff>
    </xdr:from>
    <xdr:to>
      <xdr:col>4</xdr:col>
      <xdr:colOff>384087</xdr:colOff>
      <xdr:row>11</xdr:row>
      <xdr:rowOff>381000</xdr:rowOff>
    </xdr:to>
    <xdr:pic>
      <xdr:nvPicPr>
        <xdr:cNvPr id="11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>
        <a:xfrm>
          <a:off x="2703195" y="4780915"/>
          <a:ext cx="309245" cy="2495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12</xdr:row>
      <xdr:rowOff>127635</xdr:rowOff>
    </xdr:from>
    <xdr:to>
      <xdr:col>4</xdr:col>
      <xdr:colOff>373380</xdr:colOff>
      <xdr:row>12</xdr:row>
      <xdr:rowOff>327660</xdr:rowOff>
    </xdr:to>
    <xdr:pic>
      <xdr:nvPicPr>
        <xdr:cNvPr id="111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524192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13</xdr:row>
      <xdr:rowOff>112395</xdr:rowOff>
    </xdr:from>
    <xdr:to>
      <xdr:col>4</xdr:col>
      <xdr:colOff>365557</xdr:colOff>
      <xdr:row>13</xdr:row>
      <xdr:rowOff>342900</xdr:rowOff>
    </xdr:to>
    <xdr:pic>
      <xdr:nvPicPr>
        <xdr:cNvPr id="112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569150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14</xdr:row>
      <xdr:rowOff>125731</xdr:rowOff>
    </xdr:from>
    <xdr:to>
      <xdr:col>4</xdr:col>
      <xdr:colOff>348025</xdr:colOff>
      <xdr:row>14</xdr:row>
      <xdr:rowOff>365761</xdr:rowOff>
    </xdr:to>
    <xdr:pic>
      <xdr:nvPicPr>
        <xdr:cNvPr id="113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616966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15</xdr:row>
      <xdr:rowOff>144781</xdr:rowOff>
    </xdr:from>
    <xdr:to>
      <xdr:col>4</xdr:col>
      <xdr:colOff>379705</xdr:colOff>
      <xdr:row>15</xdr:row>
      <xdr:rowOff>358141</xdr:rowOff>
    </xdr:to>
    <xdr:pic>
      <xdr:nvPicPr>
        <xdr:cNvPr id="114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665353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57150</xdr:colOff>
      <xdr:row>16</xdr:row>
      <xdr:rowOff>108585</xdr:rowOff>
    </xdr:from>
    <xdr:to>
      <xdr:col>4</xdr:col>
      <xdr:colOff>344805</xdr:colOff>
      <xdr:row>16</xdr:row>
      <xdr:rowOff>308610</xdr:rowOff>
    </xdr:to>
    <xdr:pic>
      <xdr:nvPicPr>
        <xdr:cNvPr id="116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686050" y="708215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17</xdr:row>
      <xdr:rowOff>112395</xdr:rowOff>
    </xdr:from>
    <xdr:to>
      <xdr:col>4</xdr:col>
      <xdr:colOff>365557</xdr:colOff>
      <xdr:row>17</xdr:row>
      <xdr:rowOff>342900</xdr:rowOff>
    </xdr:to>
    <xdr:pic>
      <xdr:nvPicPr>
        <xdr:cNvPr id="117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755078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18</xdr:row>
      <xdr:rowOff>125731</xdr:rowOff>
    </xdr:from>
    <xdr:to>
      <xdr:col>4</xdr:col>
      <xdr:colOff>348025</xdr:colOff>
      <xdr:row>18</xdr:row>
      <xdr:rowOff>365761</xdr:rowOff>
    </xdr:to>
    <xdr:pic>
      <xdr:nvPicPr>
        <xdr:cNvPr id="11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802894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19</xdr:row>
      <xdr:rowOff>144781</xdr:rowOff>
    </xdr:from>
    <xdr:to>
      <xdr:col>4</xdr:col>
      <xdr:colOff>379705</xdr:colOff>
      <xdr:row>19</xdr:row>
      <xdr:rowOff>358141</xdr:rowOff>
    </xdr:to>
    <xdr:pic>
      <xdr:nvPicPr>
        <xdr:cNvPr id="119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851281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20</xdr:row>
      <xdr:rowOff>127635</xdr:rowOff>
    </xdr:from>
    <xdr:to>
      <xdr:col>4</xdr:col>
      <xdr:colOff>373380</xdr:colOff>
      <xdr:row>20</xdr:row>
      <xdr:rowOff>327660</xdr:rowOff>
    </xdr:to>
    <xdr:pic>
      <xdr:nvPicPr>
        <xdr:cNvPr id="120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896048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21</xdr:row>
      <xdr:rowOff>112395</xdr:rowOff>
    </xdr:from>
    <xdr:to>
      <xdr:col>4</xdr:col>
      <xdr:colOff>365557</xdr:colOff>
      <xdr:row>21</xdr:row>
      <xdr:rowOff>342900</xdr:rowOff>
    </xdr:to>
    <xdr:pic>
      <xdr:nvPicPr>
        <xdr:cNvPr id="121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941006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22</xdr:row>
      <xdr:rowOff>125731</xdr:rowOff>
    </xdr:from>
    <xdr:to>
      <xdr:col>4</xdr:col>
      <xdr:colOff>348025</xdr:colOff>
      <xdr:row>22</xdr:row>
      <xdr:rowOff>365761</xdr:rowOff>
    </xdr:to>
    <xdr:pic>
      <xdr:nvPicPr>
        <xdr:cNvPr id="122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988822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23</xdr:row>
      <xdr:rowOff>144781</xdr:rowOff>
    </xdr:from>
    <xdr:to>
      <xdr:col>4</xdr:col>
      <xdr:colOff>379705</xdr:colOff>
      <xdr:row>23</xdr:row>
      <xdr:rowOff>358141</xdr:rowOff>
    </xdr:to>
    <xdr:pic>
      <xdr:nvPicPr>
        <xdr:cNvPr id="123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1037209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24</xdr:row>
      <xdr:rowOff>127635</xdr:rowOff>
    </xdr:from>
    <xdr:to>
      <xdr:col>4</xdr:col>
      <xdr:colOff>373380</xdr:colOff>
      <xdr:row>24</xdr:row>
      <xdr:rowOff>327660</xdr:rowOff>
    </xdr:to>
    <xdr:pic>
      <xdr:nvPicPr>
        <xdr:cNvPr id="12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1081976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25</xdr:row>
      <xdr:rowOff>112395</xdr:rowOff>
    </xdr:from>
    <xdr:to>
      <xdr:col>4</xdr:col>
      <xdr:colOff>365557</xdr:colOff>
      <xdr:row>25</xdr:row>
      <xdr:rowOff>342900</xdr:rowOff>
    </xdr:to>
    <xdr:pic>
      <xdr:nvPicPr>
        <xdr:cNvPr id="125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1126934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26</xdr:row>
      <xdr:rowOff>125731</xdr:rowOff>
    </xdr:from>
    <xdr:to>
      <xdr:col>4</xdr:col>
      <xdr:colOff>348025</xdr:colOff>
      <xdr:row>26</xdr:row>
      <xdr:rowOff>365761</xdr:rowOff>
    </xdr:to>
    <xdr:pic>
      <xdr:nvPicPr>
        <xdr:cNvPr id="126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1174750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27</xdr:row>
      <xdr:rowOff>144781</xdr:rowOff>
    </xdr:from>
    <xdr:to>
      <xdr:col>4</xdr:col>
      <xdr:colOff>379705</xdr:colOff>
      <xdr:row>27</xdr:row>
      <xdr:rowOff>358141</xdr:rowOff>
    </xdr:to>
    <xdr:pic>
      <xdr:nvPicPr>
        <xdr:cNvPr id="127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1223137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33</xdr:row>
      <xdr:rowOff>102870</xdr:rowOff>
    </xdr:from>
    <xdr:to>
      <xdr:col>4</xdr:col>
      <xdr:colOff>365760</xdr:colOff>
      <xdr:row>33</xdr:row>
      <xdr:rowOff>360105</xdr:rowOff>
    </xdr:to>
    <xdr:pic>
      <xdr:nvPicPr>
        <xdr:cNvPr id="128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1497838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78105</xdr:colOff>
      <xdr:row>34</xdr:row>
      <xdr:rowOff>108585</xdr:rowOff>
    </xdr:from>
    <xdr:to>
      <xdr:col>4</xdr:col>
      <xdr:colOff>382600</xdr:colOff>
      <xdr:row>34</xdr:row>
      <xdr:rowOff>320040</xdr:rowOff>
    </xdr:to>
    <xdr:pic>
      <xdr:nvPicPr>
        <xdr:cNvPr id="129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>
        <a:xfrm>
          <a:off x="2707005" y="15448915"/>
          <a:ext cx="304165" cy="2114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35</xdr:row>
      <xdr:rowOff>127635</xdr:rowOff>
    </xdr:from>
    <xdr:to>
      <xdr:col>4</xdr:col>
      <xdr:colOff>373380</xdr:colOff>
      <xdr:row>35</xdr:row>
      <xdr:rowOff>327660</xdr:rowOff>
    </xdr:to>
    <xdr:pic>
      <xdr:nvPicPr>
        <xdr:cNvPr id="130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1593278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36</xdr:row>
      <xdr:rowOff>112395</xdr:rowOff>
    </xdr:from>
    <xdr:to>
      <xdr:col>4</xdr:col>
      <xdr:colOff>365557</xdr:colOff>
      <xdr:row>36</xdr:row>
      <xdr:rowOff>342900</xdr:rowOff>
    </xdr:to>
    <xdr:pic>
      <xdr:nvPicPr>
        <xdr:cNvPr id="131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1638236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37</xdr:row>
      <xdr:rowOff>125731</xdr:rowOff>
    </xdr:from>
    <xdr:to>
      <xdr:col>4</xdr:col>
      <xdr:colOff>348025</xdr:colOff>
      <xdr:row>37</xdr:row>
      <xdr:rowOff>365761</xdr:rowOff>
    </xdr:to>
    <xdr:pic>
      <xdr:nvPicPr>
        <xdr:cNvPr id="132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1686052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38</xdr:row>
      <xdr:rowOff>144781</xdr:rowOff>
    </xdr:from>
    <xdr:to>
      <xdr:col>4</xdr:col>
      <xdr:colOff>379705</xdr:colOff>
      <xdr:row>38</xdr:row>
      <xdr:rowOff>358141</xdr:rowOff>
    </xdr:to>
    <xdr:pic>
      <xdr:nvPicPr>
        <xdr:cNvPr id="133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1734439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40</xdr:row>
      <xdr:rowOff>102870</xdr:rowOff>
    </xdr:from>
    <xdr:to>
      <xdr:col>4</xdr:col>
      <xdr:colOff>365760</xdr:colOff>
      <xdr:row>40</xdr:row>
      <xdr:rowOff>360105</xdr:rowOff>
    </xdr:to>
    <xdr:pic>
      <xdr:nvPicPr>
        <xdr:cNvPr id="134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1823212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41</xdr:row>
      <xdr:rowOff>127635</xdr:rowOff>
    </xdr:from>
    <xdr:to>
      <xdr:col>4</xdr:col>
      <xdr:colOff>373380</xdr:colOff>
      <xdr:row>41</xdr:row>
      <xdr:rowOff>327660</xdr:rowOff>
    </xdr:to>
    <xdr:pic>
      <xdr:nvPicPr>
        <xdr:cNvPr id="135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1872170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42</xdr:row>
      <xdr:rowOff>112395</xdr:rowOff>
    </xdr:from>
    <xdr:to>
      <xdr:col>4</xdr:col>
      <xdr:colOff>365557</xdr:colOff>
      <xdr:row>42</xdr:row>
      <xdr:rowOff>342900</xdr:rowOff>
    </xdr:to>
    <xdr:pic>
      <xdr:nvPicPr>
        <xdr:cNvPr id="136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1917128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43</xdr:row>
      <xdr:rowOff>125731</xdr:rowOff>
    </xdr:from>
    <xdr:to>
      <xdr:col>4</xdr:col>
      <xdr:colOff>348025</xdr:colOff>
      <xdr:row>43</xdr:row>
      <xdr:rowOff>365761</xdr:rowOff>
    </xdr:to>
    <xdr:pic>
      <xdr:nvPicPr>
        <xdr:cNvPr id="137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1964944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44</xdr:row>
      <xdr:rowOff>144781</xdr:rowOff>
    </xdr:from>
    <xdr:to>
      <xdr:col>4</xdr:col>
      <xdr:colOff>379705</xdr:colOff>
      <xdr:row>44</xdr:row>
      <xdr:rowOff>358141</xdr:rowOff>
    </xdr:to>
    <xdr:pic>
      <xdr:nvPicPr>
        <xdr:cNvPr id="138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2013331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45</xdr:row>
      <xdr:rowOff>102870</xdr:rowOff>
    </xdr:from>
    <xdr:to>
      <xdr:col>4</xdr:col>
      <xdr:colOff>365760</xdr:colOff>
      <xdr:row>45</xdr:row>
      <xdr:rowOff>360105</xdr:rowOff>
    </xdr:to>
    <xdr:pic>
      <xdr:nvPicPr>
        <xdr:cNvPr id="139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2055622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99060</xdr:colOff>
      <xdr:row>47</xdr:row>
      <xdr:rowOff>121920</xdr:rowOff>
    </xdr:from>
    <xdr:to>
      <xdr:col>4</xdr:col>
      <xdr:colOff>335280</xdr:colOff>
      <xdr:row>47</xdr:row>
      <xdr:rowOff>389636</xdr:rowOff>
    </xdr:to>
    <xdr:pic>
      <xdr:nvPicPr>
        <xdr:cNvPr id="14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2727960" y="21504910"/>
          <a:ext cx="236220" cy="2673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48</xdr:row>
      <xdr:rowOff>127635</xdr:rowOff>
    </xdr:from>
    <xdr:to>
      <xdr:col>4</xdr:col>
      <xdr:colOff>373380</xdr:colOff>
      <xdr:row>48</xdr:row>
      <xdr:rowOff>327660</xdr:rowOff>
    </xdr:to>
    <xdr:pic>
      <xdr:nvPicPr>
        <xdr:cNvPr id="141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2197544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49</xdr:row>
      <xdr:rowOff>112395</xdr:rowOff>
    </xdr:from>
    <xdr:to>
      <xdr:col>4</xdr:col>
      <xdr:colOff>365557</xdr:colOff>
      <xdr:row>49</xdr:row>
      <xdr:rowOff>342900</xdr:rowOff>
    </xdr:to>
    <xdr:pic>
      <xdr:nvPicPr>
        <xdr:cNvPr id="142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2242502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50</xdr:row>
      <xdr:rowOff>125731</xdr:rowOff>
    </xdr:from>
    <xdr:to>
      <xdr:col>4</xdr:col>
      <xdr:colOff>348025</xdr:colOff>
      <xdr:row>50</xdr:row>
      <xdr:rowOff>365761</xdr:rowOff>
    </xdr:to>
    <xdr:pic>
      <xdr:nvPicPr>
        <xdr:cNvPr id="143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2290318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51</xdr:row>
      <xdr:rowOff>144781</xdr:rowOff>
    </xdr:from>
    <xdr:to>
      <xdr:col>4</xdr:col>
      <xdr:colOff>379705</xdr:colOff>
      <xdr:row>51</xdr:row>
      <xdr:rowOff>358141</xdr:rowOff>
    </xdr:to>
    <xdr:pic>
      <xdr:nvPicPr>
        <xdr:cNvPr id="144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2338705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64770</xdr:colOff>
      <xdr:row>52</xdr:row>
      <xdr:rowOff>106681</xdr:rowOff>
    </xdr:from>
    <xdr:to>
      <xdr:col>4</xdr:col>
      <xdr:colOff>347403</xdr:colOff>
      <xdr:row>52</xdr:row>
      <xdr:rowOff>381001</xdr:rowOff>
    </xdr:to>
    <xdr:pic>
      <xdr:nvPicPr>
        <xdr:cNvPr id="14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2693670" y="23813770"/>
          <a:ext cx="282575" cy="27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150495</xdr:colOff>
      <xdr:row>53</xdr:row>
      <xdr:rowOff>116206</xdr:rowOff>
    </xdr:from>
    <xdr:to>
      <xdr:col>4</xdr:col>
      <xdr:colOff>433128</xdr:colOff>
      <xdr:row>53</xdr:row>
      <xdr:rowOff>390526</xdr:rowOff>
    </xdr:to>
    <xdr:pic>
      <xdr:nvPicPr>
        <xdr:cNvPr id="14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2779395" y="24288115"/>
          <a:ext cx="282575" cy="27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54</xdr:row>
      <xdr:rowOff>102870</xdr:rowOff>
    </xdr:from>
    <xdr:to>
      <xdr:col>4</xdr:col>
      <xdr:colOff>365760</xdr:colOff>
      <xdr:row>54</xdr:row>
      <xdr:rowOff>360105</xdr:rowOff>
    </xdr:to>
    <xdr:pic>
      <xdr:nvPicPr>
        <xdr:cNvPr id="147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2473960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97156</xdr:colOff>
      <xdr:row>46</xdr:row>
      <xdr:rowOff>144781</xdr:rowOff>
    </xdr:from>
    <xdr:to>
      <xdr:col>4</xdr:col>
      <xdr:colOff>390374</xdr:colOff>
      <xdr:row>46</xdr:row>
      <xdr:rowOff>342901</xdr:rowOff>
    </xdr:to>
    <xdr:pic>
      <xdr:nvPicPr>
        <xdr:cNvPr id="14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>
        <a:xfrm>
          <a:off x="2726055" y="21062950"/>
          <a:ext cx="292735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150495</xdr:colOff>
      <xdr:row>55</xdr:row>
      <xdr:rowOff>116206</xdr:rowOff>
    </xdr:from>
    <xdr:to>
      <xdr:col>4</xdr:col>
      <xdr:colOff>433128</xdr:colOff>
      <xdr:row>55</xdr:row>
      <xdr:rowOff>390526</xdr:rowOff>
    </xdr:to>
    <xdr:pic>
      <xdr:nvPicPr>
        <xdr:cNvPr id="14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2779395" y="25217755"/>
          <a:ext cx="282575" cy="27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56</xdr:row>
      <xdr:rowOff>102870</xdr:rowOff>
    </xdr:from>
    <xdr:to>
      <xdr:col>4</xdr:col>
      <xdr:colOff>365760</xdr:colOff>
      <xdr:row>56</xdr:row>
      <xdr:rowOff>360105</xdr:rowOff>
    </xdr:to>
    <xdr:pic>
      <xdr:nvPicPr>
        <xdr:cNvPr id="150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2566924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150495</xdr:colOff>
      <xdr:row>58</xdr:row>
      <xdr:rowOff>116206</xdr:rowOff>
    </xdr:from>
    <xdr:to>
      <xdr:col>4</xdr:col>
      <xdr:colOff>433128</xdr:colOff>
      <xdr:row>58</xdr:row>
      <xdr:rowOff>390526</xdr:rowOff>
    </xdr:to>
    <xdr:pic>
      <xdr:nvPicPr>
        <xdr:cNvPr id="15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2779395" y="26612215"/>
          <a:ext cx="282575" cy="27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59</xdr:row>
      <xdr:rowOff>102870</xdr:rowOff>
    </xdr:from>
    <xdr:to>
      <xdr:col>4</xdr:col>
      <xdr:colOff>365760</xdr:colOff>
      <xdr:row>59</xdr:row>
      <xdr:rowOff>360105</xdr:rowOff>
    </xdr:to>
    <xdr:pic>
      <xdr:nvPicPr>
        <xdr:cNvPr id="152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2706370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60</xdr:row>
      <xdr:rowOff>127635</xdr:rowOff>
    </xdr:from>
    <xdr:to>
      <xdr:col>4</xdr:col>
      <xdr:colOff>373380</xdr:colOff>
      <xdr:row>60</xdr:row>
      <xdr:rowOff>327660</xdr:rowOff>
    </xdr:to>
    <xdr:pic>
      <xdr:nvPicPr>
        <xdr:cNvPr id="153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2755328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61</xdr:row>
      <xdr:rowOff>112395</xdr:rowOff>
    </xdr:from>
    <xdr:to>
      <xdr:col>4</xdr:col>
      <xdr:colOff>365557</xdr:colOff>
      <xdr:row>61</xdr:row>
      <xdr:rowOff>342900</xdr:rowOff>
    </xdr:to>
    <xdr:pic>
      <xdr:nvPicPr>
        <xdr:cNvPr id="154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2800286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62</xdr:row>
      <xdr:rowOff>125731</xdr:rowOff>
    </xdr:from>
    <xdr:to>
      <xdr:col>4</xdr:col>
      <xdr:colOff>348025</xdr:colOff>
      <xdr:row>62</xdr:row>
      <xdr:rowOff>365761</xdr:rowOff>
    </xdr:to>
    <xdr:pic>
      <xdr:nvPicPr>
        <xdr:cNvPr id="155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2848102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63</xdr:row>
      <xdr:rowOff>144781</xdr:rowOff>
    </xdr:from>
    <xdr:to>
      <xdr:col>4</xdr:col>
      <xdr:colOff>379705</xdr:colOff>
      <xdr:row>63</xdr:row>
      <xdr:rowOff>358141</xdr:rowOff>
    </xdr:to>
    <xdr:pic>
      <xdr:nvPicPr>
        <xdr:cNvPr id="15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2896489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150495</xdr:colOff>
      <xdr:row>64</xdr:row>
      <xdr:rowOff>116206</xdr:rowOff>
    </xdr:from>
    <xdr:to>
      <xdr:col>4</xdr:col>
      <xdr:colOff>433128</xdr:colOff>
      <xdr:row>64</xdr:row>
      <xdr:rowOff>390526</xdr:rowOff>
    </xdr:to>
    <xdr:pic>
      <xdr:nvPicPr>
        <xdr:cNvPr id="157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2779395" y="29401135"/>
          <a:ext cx="282575" cy="27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65</xdr:row>
      <xdr:rowOff>102870</xdr:rowOff>
    </xdr:from>
    <xdr:to>
      <xdr:col>4</xdr:col>
      <xdr:colOff>365760</xdr:colOff>
      <xdr:row>65</xdr:row>
      <xdr:rowOff>360105</xdr:rowOff>
    </xdr:to>
    <xdr:pic>
      <xdr:nvPicPr>
        <xdr:cNvPr id="158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2985262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150495</xdr:colOff>
      <xdr:row>67</xdr:row>
      <xdr:rowOff>116206</xdr:rowOff>
    </xdr:from>
    <xdr:to>
      <xdr:col>4</xdr:col>
      <xdr:colOff>433128</xdr:colOff>
      <xdr:row>67</xdr:row>
      <xdr:rowOff>390526</xdr:rowOff>
    </xdr:to>
    <xdr:pic>
      <xdr:nvPicPr>
        <xdr:cNvPr id="15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2779395" y="30795595"/>
          <a:ext cx="282575" cy="27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68</xdr:row>
      <xdr:rowOff>102870</xdr:rowOff>
    </xdr:from>
    <xdr:to>
      <xdr:col>4</xdr:col>
      <xdr:colOff>365760</xdr:colOff>
      <xdr:row>68</xdr:row>
      <xdr:rowOff>360105</xdr:rowOff>
    </xdr:to>
    <xdr:pic>
      <xdr:nvPicPr>
        <xdr:cNvPr id="160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3124708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441960</xdr:colOff>
      <xdr:row>66</xdr:row>
      <xdr:rowOff>76200</xdr:rowOff>
    </xdr:from>
    <xdr:to>
      <xdr:col>5</xdr:col>
      <xdr:colOff>0</xdr:colOff>
      <xdr:row>66</xdr:row>
      <xdr:rowOff>396240</xdr:rowOff>
    </xdr:to>
    <xdr:pic>
      <xdr:nvPicPr>
        <xdr:cNvPr id="161" name="图片 1" descr="调较脚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070860" y="30290770"/>
          <a:ext cx="7620" cy="320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83820</xdr:colOff>
      <xdr:row>66</xdr:row>
      <xdr:rowOff>114300</xdr:rowOff>
    </xdr:from>
    <xdr:to>
      <xdr:col>4</xdr:col>
      <xdr:colOff>335280</xdr:colOff>
      <xdr:row>66</xdr:row>
      <xdr:rowOff>388112</xdr:rowOff>
    </xdr:to>
    <xdr:pic>
      <xdr:nvPicPr>
        <xdr:cNvPr id="162" name="图片 1" descr="调较脚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>
        <a:xfrm>
          <a:off x="2712720" y="30328870"/>
          <a:ext cx="251460" cy="2736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150495</xdr:colOff>
      <xdr:row>71</xdr:row>
      <xdr:rowOff>116206</xdr:rowOff>
    </xdr:from>
    <xdr:to>
      <xdr:col>4</xdr:col>
      <xdr:colOff>433128</xdr:colOff>
      <xdr:row>71</xdr:row>
      <xdr:rowOff>390526</xdr:rowOff>
    </xdr:to>
    <xdr:pic>
      <xdr:nvPicPr>
        <xdr:cNvPr id="16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2779395" y="32654875"/>
          <a:ext cx="282575" cy="27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72</xdr:row>
      <xdr:rowOff>102870</xdr:rowOff>
    </xdr:from>
    <xdr:to>
      <xdr:col>4</xdr:col>
      <xdr:colOff>365760</xdr:colOff>
      <xdr:row>72</xdr:row>
      <xdr:rowOff>360105</xdr:rowOff>
    </xdr:to>
    <xdr:pic>
      <xdr:nvPicPr>
        <xdr:cNvPr id="164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3310636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69</xdr:row>
      <xdr:rowOff>127635</xdr:rowOff>
    </xdr:from>
    <xdr:to>
      <xdr:col>4</xdr:col>
      <xdr:colOff>373380</xdr:colOff>
      <xdr:row>69</xdr:row>
      <xdr:rowOff>327660</xdr:rowOff>
    </xdr:to>
    <xdr:pic>
      <xdr:nvPicPr>
        <xdr:cNvPr id="165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3173666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137160</xdr:colOff>
      <xdr:row>70</xdr:row>
      <xdr:rowOff>87631</xdr:rowOff>
    </xdr:from>
    <xdr:to>
      <xdr:col>4</xdr:col>
      <xdr:colOff>427330</xdr:colOff>
      <xdr:row>70</xdr:row>
      <xdr:rowOff>300991</xdr:rowOff>
    </xdr:to>
    <xdr:pic>
      <xdr:nvPicPr>
        <xdr:cNvPr id="168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66060" y="3216148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441960</xdr:colOff>
      <xdr:row>73</xdr:row>
      <xdr:rowOff>76200</xdr:rowOff>
    </xdr:from>
    <xdr:to>
      <xdr:col>5</xdr:col>
      <xdr:colOff>0</xdr:colOff>
      <xdr:row>73</xdr:row>
      <xdr:rowOff>396240</xdr:rowOff>
    </xdr:to>
    <xdr:pic>
      <xdr:nvPicPr>
        <xdr:cNvPr id="169" name="图片 1" descr="调较脚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070860" y="33544510"/>
          <a:ext cx="7620" cy="320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83820</xdr:colOff>
      <xdr:row>73</xdr:row>
      <xdr:rowOff>114300</xdr:rowOff>
    </xdr:from>
    <xdr:to>
      <xdr:col>4</xdr:col>
      <xdr:colOff>335280</xdr:colOff>
      <xdr:row>73</xdr:row>
      <xdr:rowOff>388112</xdr:rowOff>
    </xdr:to>
    <xdr:pic>
      <xdr:nvPicPr>
        <xdr:cNvPr id="170" name="图片 1" descr="调较脚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>
        <a:xfrm>
          <a:off x="2712720" y="33582610"/>
          <a:ext cx="251460" cy="2736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150495</xdr:colOff>
      <xdr:row>74</xdr:row>
      <xdr:rowOff>116206</xdr:rowOff>
    </xdr:from>
    <xdr:to>
      <xdr:col>4</xdr:col>
      <xdr:colOff>433128</xdr:colOff>
      <xdr:row>74</xdr:row>
      <xdr:rowOff>390526</xdr:rowOff>
    </xdr:to>
    <xdr:pic>
      <xdr:nvPicPr>
        <xdr:cNvPr id="17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2779395" y="34049335"/>
          <a:ext cx="282575" cy="27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75</xdr:row>
      <xdr:rowOff>102870</xdr:rowOff>
    </xdr:from>
    <xdr:to>
      <xdr:col>4</xdr:col>
      <xdr:colOff>365760</xdr:colOff>
      <xdr:row>75</xdr:row>
      <xdr:rowOff>360105</xdr:rowOff>
    </xdr:to>
    <xdr:pic>
      <xdr:nvPicPr>
        <xdr:cNvPr id="172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3450082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441960</xdr:colOff>
      <xdr:row>76</xdr:row>
      <xdr:rowOff>76200</xdr:rowOff>
    </xdr:from>
    <xdr:to>
      <xdr:col>5</xdr:col>
      <xdr:colOff>0</xdr:colOff>
      <xdr:row>76</xdr:row>
      <xdr:rowOff>396240</xdr:rowOff>
    </xdr:to>
    <xdr:pic>
      <xdr:nvPicPr>
        <xdr:cNvPr id="173" name="图片 1" descr="调较脚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070860" y="34938970"/>
          <a:ext cx="7620" cy="320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83820</xdr:colOff>
      <xdr:row>76</xdr:row>
      <xdr:rowOff>114300</xdr:rowOff>
    </xdr:from>
    <xdr:to>
      <xdr:col>4</xdr:col>
      <xdr:colOff>335280</xdr:colOff>
      <xdr:row>76</xdr:row>
      <xdr:rowOff>388112</xdr:rowOff>
    </xdr:to>
    <xdr:pic>
      <xdr:nvPicPr>
        <xdr:cNvPr id="174" name="图片 1" descr="调较脚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>
        <a:xfrm>
          <a:off x="2712720" y="34977070"/>
          <a:ext cx="251460" cy="2736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77</xdr:row>
      <xdr:rowOff>102870</xdr:rowOff>
    </xdr:from>
    <xdr:to>
      <xdr:col>4</xdr:col>
      <xdr:colOff>365760</xdr:colOff>
      <xdr:row>77</xdr:row>
      <xdr:rowOff>360105</xdr:rowOff>
    </xdr:to>
    <xdr:pic>
      <xdr:nvPicPr>
        <xdr:cNvPr id="175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3543046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150495</xdr:colOff>
      <xdr:row>78</xdr:row>
      <xdr:rowOff>116206</xdr:rowOff>
    </xdr:from>
    <xdr:to>
      <xdr:col>4</xdr:col>
      <xdr:colOff>433128</xdr:colOff>
      <xdr:row>78</xdr:row>
      <xdr:rowOff>390526</xdr:rowOff>
    </xdr:to>
    <xdr:pic>
      <xdr:nvPicPr>
        <xdr:cNvPr id="17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2779395" y="35908615"/>
          <a:ext cx="282575" cy="27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79</xdr:row>
      <xdr:rowOff>102870</xdr:rowOff>
    </xdr:from>
    <xdr:to>
      <xdr:col>4</xdr:col>
      <xdr:colOff>365760</xdr:colOff>
      <xdr:row>79</xdr:row>
      <xdr:rowOff>360105</xdr:rowOff>
    </xdr:to>
    <xdr:pic>
      <xdr:nvPicPr>
        <xdr:cNvPr id="177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3636010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150495</xdr:colOff>
      <xdr:row>80</xdr:row>
      <xdr:rowOff>116206</xdr:rowOff>
    </xdr:from>
    <xdr:to>
      <xdr:col>4</xdr:col>
      <xdr:colOff>433128</xdr:colOff>
      <xdr:row>80</xdr:row>
      <xdr:rowOff>390526</xdr:rowOff>
    </xdr:to>
    <xdr:pic>
      <xdr:nvPicPr>
        <xdr:cNvPr id="178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2779395" y="36838255"/>
          <a:ext cx="282575" cy="27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81</xdr:row>
      <xdr:rowOff>102870</xdr:rowOff>
    </xdr:from>
    <xdr:to>
      <xdr:col>4</xdr:col>
      <xdr:colOff>365760</xdr:colOff>
      <xdr:row>81</xdr:row>
      <xdr:rowOff>360105</xdr:rowOff>
    </xdr:to>
    <xdr:pic>
      <xdr:nvPicPr>
        <xdr:cNvPr id="179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3728974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82</xdr:row>
      <xdr:rowOff>127635</xdr:rowOff>
    </xdr:from>
    <xdr:to>
      <xdr:col>4</xdr:col>
      <xdr:colOff>373380</xdr:colOff>
      <xdr:row>82</xdr:row>
      <xdr:rowOff>327660</xdr:rowOff>
    </xdr:to>
    <xdr:pic>
      <xdr:nvPicPr>
        <xdr:cNvPr id="180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3777932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137160</xdr:colOff>
      <xdr:row>83</xdr:row>
      <xdr:rowOff>87631</xdr:rowOff>
    </xdr:from>
    <xdr:to>
      <xdr:col>4</xdr:col>
      <xdr:colOff>427330</xdr:colOff>
      <xdr:row>83</xdr:row>
      <xdr:rowOff>300991</xdr:rowOff>
    </xdr:to>
    <xdr:pic>
      <xdr:nvPicPr>
        <xdr:cNvPr id="181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66060" y="3820414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85</xdr:row>
      <xdr:rowOff>102870</xdr:rowOff>
    </xdr:from>
    <xdr:to>
      <xdr:col>4</xdr:col>
      <xdr:colOff>365760</xdr:colOff>
      <xdr:row>85</xdr:row>
      <xdr:rowOff>360105</xdr:rowOff>
    </xdr:to>
    <xdr:pic>
      <xdr:nvPicPr>
        <xdr:cNvPr id="182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3914902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97156</xdr:colOff>
      <xdr:row>86</xdr:row>
      <xdr:rowOff>144781</xdr:rowOff>
    </xdr:from>
    <xdr:to>
      <xdr:col>4</xdr:col>
      <xdr:colOff>390374</xdr:colOff>
      <xdr:row>86</xdr:row>
      <xdr:rowOff>342901</xdr:rowOff>
    </xdr:to>
    <xdr:pic>
      <xdr:nvPicPr>
        <xdr:cNvPr id="183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>
        <a:xfrm>
          <a:off x="2726055" y="39655750"/>
          <a:ext cx="292735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150495</xdr:colOff>
      <xdr:row>87</xdr:row>
      <xdr:rowOff>116206</xdr:rowOff>
    </xdr:from>
    <xdr:to>
      <xdr:col>4</xdr:col>
      <xdr:colOff>433128</xdr:colOff>
      <xdr:row>87</xdr:row>
      <xdr:rowOff>390526</xdr:rowOff>
    </xdr:to>
    <xdr:pic>
      <xdr:nvPicPr>
        <xdr:cNvPr id="184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2779395" y="40091995"/>
          <a:ext cx="282575" cy="27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90</xdr:row>
      <xdr:rowOff>102870</xdr:rowOff>
    </xdr:from>
    <xdr:to>
      <xdr:col>4</xdr:col>
      <xdr:colOff>365760</xdr:colOff>
      <xdr:row>90</xdr:row>
      <xdr:rowOff>360105</xdr:rowOff>
    </xdr:to>
    <xdr:pic>
      <xdr:nvPicPr>
        <xdr:cNvPr id="185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4147312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78105</xdr:colOff>
      <xdr:row>91</xdr:row>
      <xdr:rowOff>108585</xdr:rowOff>
    </xdr:from>
    <xdr:to>
      <xdr:col>4</xdr:col>
      <xdr:colOff>382600</xdr:colOff>
      <xdr:row>91</xdr:row>
      <xdr:rowOff>320040</xdr:rowOff>
    </xdr:to>
    <xdr:pic>
      <xdr:nvPicPr>
        <xdr:cNvPr id="186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>
        <a:xfrm>
          <a:off x="2707005" y="41943655"/>
          <a:ext cx="304165" cy="2114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92</xdr:row>
      <xdr:rowOff>127635</xdr:rowOff>
    </xdr:from>
    <xdr:to>
      <xdr:col>4</xdr:col>
      <xdr:colOff>373380</xdr:colOff>
      <xdr:row>92</xdr:row>
      <xdr:rowOff>327660</xdr:rowOff>
    </xdr:to>
    <xdr:pic>
      <xdr:nvPicPr>
        <xdr:cNvPr id="187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4242752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93</xdr:row>
      <xdr:rowOff>112395</xdr:rowOff>
    </xdr:from>
    <xdr:to>
      <xdr:col>4</xdr:col>
      <xdr:colOff>365557</xdr:colOff>
      <xdr:row>93</xdr:row>
      <xdr:rowOff>342900</xdr:rowOff>
    </xdr:to>
    <xdr:pic>
      <xdr:nvPicPr>
        <xdr:cNvPr id="188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4287710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94</xdr:row>
      <xdr:rowOff>125731</xdr:rowOff>
    </xdr:from>
    <xdr:to>
      <xdr:col>4</xdr:col>
      <xdr:colOff>348025</xdr:colOff>
      <xdr:row>94</xdr:row>
      <xdr:rowOff>365761</xdr:rowOff>
    </xdr:to>
    <xdr:pic>
      <xdr:nvPicPr>
        <xdr:cNvPr id="189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4335526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95</xdr:row>
      <xdr:rowOff>144781</xdr:rowOff>
    </xdr:from>
    <xdr:to>
      <xdr:col>4</xdr:col>
      <xdr:colOff>379705</xdr:colOff>
      <xdr:row>95</xdr:row>
      <xdr:rowOff>358141</xdr:rowOff>
    </xdr:to>
    <xdr:pic>
      <xdr:nvPicPr>
        <xdr:cNvPr id="19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4383913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99</xdr:row>
      <xdr:rowOff>102870</xdr:rowOff>
    </xdr:from>
    <xdr:to>
      <xdr:col>4</xdr:col>
      <xdr:colOff>365760</xdr:colOff>
      <xdr:row>99</xdr:row>
      <xdr:rowOff>360105</xdr:rowOff>
    </xdr:to>
    <xdr:pic>
      <xdr:nvPicPr>
        <xdr:cNvPr id="191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4565650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53340</xdr:colOff>
      <xdr:row>101</xdr:row>
      <xdr:rowOff>120015</xdr:rowOff>
    </xdr:from>
    <xdr:to>
      <xdr:col>4</xdr:col>
      <xdr:colOff>366168</xdr:colOff>
      <xdr:row>101</xdr:row>
      <xdr:rowOff>350520</xdr:rowOff>
    </xdr:to>
    <xdr:pic>
      <xdr:nvPicPr>
        <xdr:cNvPr id="192" name="Picture 11" descr="轨道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>
        <a:xfrm>
          <a:off x="2682240" y="46603285"/>
          <a:ext cx="312420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105</xdr:row>
      <xdr:rowOff>102870</xdr:rowOff>
    </xdr:from>
    <xdr:to>
      <xdr:col>4</xdr:col>
      <xdr:colOff>365760</xdr:colOff>
      <xdr:row>105</xdr:row>
      <xdr:rowOff>360105</xdr:rowOff>
    </xdr:to>
    <xdr:pic>
      <xdr:nvPicPr>
        <xdr:cNvPr id="193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4844542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108</xdr:row>
      <xdr:rowOff>102870</xdr:rowOff>
    </xdr:from>
    <xdr:to>
      <xdr:col>4</xdr:col>
      <xdr:colOff>365760</xdr:colOff>
      <xdr:row>108</xdr:row>
      <xdr:rowOff>360105</xdr:rowOff>
    </xdr:to>
    <xdr:pic>
      <xdr:nvPicPr>
        <xdr:cNvPr id="194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4983988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53340</xdr:colOff>
      <xdr:row>109</xdr:row>
      <xdr:rowOff>120015</xdr:rowOff>
    </xdr:from>
    <xdr:to>
      <xdr:col>4</xdr:col>
      <xdr:colOff>366168</xdr:colOff>
      <xdr:row>109</xdr:row>
      <xdr:rowOff>350520</xdr:rowOff>
    </xdr:to>
    <xdr:pic>
      <xdr:nvPicPr>
        <xdr:cNvPr id="195" name="Picture 11" descr="轨道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>
        <a:xfrm>
          <a:off x="2682240" y="50321845"/>
          <a:ext cx="312420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113</xdr:row>
      <xdr:rowOff>102870</xdr:rowOff>
    </xdr:from>
    <xdr:to>
      <xdr:col>4</xdr:col>
      <xdr:colOff>365760</xdr:colOff>
      <xdr:row>113</xdr:row>
      <xdr:rowOff>360105</xdr:rowOff>
    </xdr:to>
    <xdr:pic>
      <xdr:nvPicPr>
        <xdr:cNvPr id="196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5216398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53340</xdr:colOff>
      <xdr:row>114</xdr:row>
      <xdr:rowOff>120015</xdr:rowOff>
    </xdr:from>
    <xdr:to>
      <xdr:col>4</xdr:col>
      <xdr:colOff>366168</xdr:colOff>
      <xdr:row>114</xdr:row>
      <xdr:rowOff>350520</xdr:rowOff>
    </xdr:to>
    <xdr:pic>
      <xdr:nvPicPr>
        <xdr:cNvPr id="197" name="Picture 11" descr="轨道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>
        <a:xfrm>
          <a:off x="2682240" y="52645945"/>
          <a:ext cx="312420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121</xdr:row>
      <xdr:rowOff>102870</xdr:rowOff>
    </xdr:from>
    <xdr:to>
      <xdr:col>4</xdr:col>
      <xdr:colOff>365760</xdr:colOff>
      <xdr:row>121</xdr:row>
      <xdr:rowOff>360105</xdr:rowOff>
    </xdr:to>
    <xdr:pic>
      <xdr:nvPicPr>
        <xdr:cNvPr id="198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5588254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93345</xdr:colOff>
      <xdr:row>122</xdr:row>
      <xdr:rowOff>129541</xdr:rowOff>
    </xdr:from>
    <xdr:to>
      <xdr:col>4</xdr:col>
      <xdr:colOff>351962</xdr:colOff>
      <xdr:row>122</xdr:row>
      <xdr:rowOff>373380</xdr:rowOff>
    </xdr:to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>
        <a:xfrm>
          <a:off x="2722245" y="56374030"/>
          <a:ext cx="258445" cy="2438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93345</xdr:colOff>
      <xdr:row>106</xdr:row>
      <xdr:rowOff>129541</xdr:rowOff>
    </xdr:from>
    <xdr:to>
      <xdr:col>4</xdr:col>
      <xdr:colOff>351962</xdr:colOff>
      <xdr:row>106</xdr:row>
      <xdr:rowOff>373380</xdr:rowOff>
    </xdr:to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>
        <a:xfrm>
          <a:off x="2722245" y="48936910"/>
          <a:ext cx="258445" cy="2438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125</xdr:row>
      <xdr:rowOff>102870</xdr:rowOff>
    </xdr:from>
    <xdr:to>
      <xdr:col>4</xdr:col>
      <xdr:colOff>365760</xdr:colOff>
      <xdr:row>125</xdr:row>
      <xdr:rowOff>360105</xdr:rowOff>
    </xdr:to>
    <xdr:pic>
      <xdr:nvPicPr>
        <xdr:cNvPr id="201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5774182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93345</xdr:colOff>
      <xdr:row>126</xdr:row>
      <xdr:rowOff>129541</xdr:rowOff>
    </xdr:from>
    <xdr:to>
      <xdr:col>4</xdr:col>
      <xdr:colOff>351962</xdr:colOff>
      <xdr:row>126</xdr:row>
      <xdr:rowOff>373380</xdr:rowOff>
    </xdr:to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>
        <a:xfrm>
          <a:off x="2722245" y="58233310"/>
          <a:ext cx="258445" cy="2438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97156</xdr:colOff>
      <xdr:row>127</xdr:row>
      <xdr:rowOff>144781</xdr:rowOff>
    </xdr:from>
    <xdr:to>
      <xdr:col>4</xdr:col>
      <xdr:colOff>390374</xdr:colOff>
      <xdr:row>127</xdr:row>
      <xdr:rowOff>342901</xdr:rowOff>
    </xdr:to>
    <xdr:pic>
      <xdr:nvPicPr>
        <xdr:cNvPr id="203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>
        <a:xfrm>
          <a:off x="2726055" y="58713370"/>
          <a:ext cx="292735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133</xdr:row>
      <xdr:rowOff>102870</xdr:rowOff>
    </xdr:from>
    <xdr:to>
      <xdr:col>4</xdr:col>
      <xdr:colOff>365760</xdr:colOff>
      <xdr:row>133</xdr:row>
      <xdr:rowOff>360105</xdr:rowOff>
    </xdr:to>
    <xdr:pic>
      <xdr:nvPicPr>
        <xdr:cNvPr id="204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6146038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53340</xdr:colOff>
      <xdr:row>134</xdr:row>
      <xdr:rowOff>120015</xdr:rowOff>
    </xdr:from>
    <xdr:to>
      <xdr:col>4</xdr:col>
      <xdr:colOff>366168</xdr:colOff>
      <xdr:row>134</xdr:row>
      <xdr:rowOff>350520</xdr:rowOff>
    </xdr:to>
    <xdr:pic>
      <xdr:nvPicPr>
        <xdr:cNvPr id="205" name="Picture 11" descr="轨道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>
        <a:xfrm>
          <a:off x="2682240" y="61942345"/>
          <a:ext cx="312420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139</xdr:row>
      <xdr:rowOff>102870</xdr:rowOff>
    </xdr:from>
    <xdr:to>
      <xdr:col>4</xdr:col>
      <xdr:colOff>365760</xdr:colOff>
      <xdr:row>139</xdr:row>
      <xdr:rowOff>360105</xdr:rowOff>
    </xdr:to>
    <xdr:pic>
      <xdr:nvPicPr>
        <xdr:cNvPr id="206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6424930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143</xdr:row>
      <xdr:rowOff>102870</xdr:rowOff>
    </xdr:from>
    <xdr:to>
      <xdr:col>4</xdr:col>
      <xdr:colOff>365760</xdr:colOff>
      <xdr:row>143</xdr:row>
      <xdr:rowOff>360105</xdr:rowOff>
    </xdr:to>
    <xdr:pic>
      <xdr:nvPicPr>
        <xdr:cNvPr id="207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6610858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53340</xdr:colOff>
      <xdr:row>146</xdr:row>
      <xdr:rowOff>120015</xdr:rowOff>
    </xdr:from>
    <xdr:to>
      <xdr:col>4</xdr:col>
      <xdr:colOff>366168</xdr:colOff>
      <xdr:row>146</xdr:row>
      <xdr:rowOff>350520</xdr:rowOff>
    </xdr:to>
    <xdr:pic>
      <xdr:nvPicPr>
        <xdr:cNvPr id="208" name="Picture 11" descr="轨道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>
        <a:xfrm>
          <a:off x="2682240" y="67520185"/>
          <a:ext cx="312420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78105</xdr:colOff>
      <xdr:row>147</xdr:row>
      <xdr:rowOff>108585</xdr:rowOff>
    </xdr:from>
    <xdr:to>
      <xdr:col>4</xdr:col>
      <xdr:colOff>382600</xdr:colOff>
      <xdr:row>147</xdr:row>
      <xdr:rowOff>320040</xdr:rowOff>
    </xdr:to>
    <xdr:pic>
      <xdr:nvPicPr>
        <xdr:cNvPr id="209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>
        <a:xfrm>
          <a:off x="2707005" y="67973575"/>
          <a:ext cx="304165" cy="2114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148</xdr:row>
      <xdr:rowOff>127635</xdr:rowOff>
    </xdr:from>
    <xdr:to>
      <xdr:col>4</xdr:col>
      <xdr:colOff>373380</xdr:colOff>
      <xdr:row>148</xdr:row>
      <xdr:rowOff>327660</xdr:rowOff>
    </xdr:to>
    <xdr:pic>
      <xdr:nvPicPr>
        <xdr:cNvPr id="210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6845744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149</xdr:row>
      <xdr:rowOff>112395</xdr:rowOff>
    </xdr:from>
    <xdr:to>
      <xdr:col>4</xdr:col>
      <xdr:colOff>365557</xdr:colOff>
      <xdr:row>149</xdr:row>
      <xdr:rowOff>342900</xdr:rowOff>
    </xdr:to>
    <xdr:pic>
      <xdr:nvPicPr>
        <xdr:cNvPr id="211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6890702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150</xdr:row>
      <xdr:rowOff>125731</xdr:rowOff>
    </xdr:from>
    <xdr:to>
      <xdr:col>4</xdr:col>
      <xdr:colOff>348025</xdr:colOff>
      <xdr:row>150</xdr:row>
      <xdr:rowOff>365761</xdr:rowOff>
    </xdr:to>
    <xdr:pic>
      <xdr:nvPicPr>
        <xdr:cNvPr id="212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6938518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151</xdr:row>
      <xdr:rowOff>144781</xdr:rowOff>
    </xdr:from>
    <xdr:to>
      <xdr:col>4</xdr:col>
      <xdr:colOff>379705</xdr:colOff>
      <xdr:row>151</xdr:row>
      <xdr:rowOff>358141</xdr:rowOff>
    </xdr:to>
    <xdr:pic>
      <xdr:nvPicPr>
        <xdr:cNvPr id="213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6986905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152</xdr:row>
      <xdr:rowOff>102870</xdr:rowOff>
    </xdr:from>
    <xdr:to>
      <xdr:col>4</xdr:col>
      <xdr:colOff>365760</xdr:colOff>
      <xdr:row>152</xdr:row>
      <xdr:rowOff>360105</xdr:rowOff>
    </xdr:to>
    <xdr:pic>
      <xdr:nvPicPr>
        <xdr:cNvPr id="214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7029196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53340</xdr:colOff>
      <xdr:row>153</xdr:row>
      <xdr:rowOff>120015</xdr:rowOff>
    </xdr:from>
    <xdr:to>
      <xdr:col>4</xdr:col>
      <xdr:colOff>366168</xdr:colOff>
      <xdr:row>153</xdr:row>
      <xdr:rowOff>350520</xdr:rowOff>
    </xdr:to>
    <xdr:pic>
      <xdr:nvPicPr>
        <xdr:cNvPr id="215" name="Picture 11" descr="轨道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>
        <a:xfrm>
          <a:off x="2682240" y="70773925"/>
          <a:ext cx="312420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78105</xdr:colOff>
      <xdr:row>154</xdr:row>
      <xdr:rowOff>108585</xdr:rowOff>
    </xdr:from>
    <xdr:to>
      <xdr:col>4</xdr:col>
      <xdr:colOff>382600</xdr:colOff>
      <xdr:row>154</xdr:row>
      <xdr:rowOff>320040</xdr:rowOff>
    </xdr:to>
    <xdr:pic>
      <xdr:nvPicPr>
        <xdr:cNvPr id="216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>
        <a:xfrm>
          <a:off x="2707005" y="71227315"/>
          <a:ext cx="304165" cy="2114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155</xdr:row>
      <xdr:rowOff>127635</xdr:rowOff>
    </xdr:from>
    <xdr:to>
      <xdr:col>4</xdr:col>
      <xdr:colOff>373380</xdr:colOff>
      <xdr:row>155</xdr:row>
      <xdr:rowOff>327660</xdr:rowOff>
    </xdr:to>
    <xdr:pic>
      <xdr:nvPicPr>
        <xdr:cNvPr id="217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7171118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156</xdr:row>
      <xdr:rowOff>144781</xdr:rowOff>
    </xdr:from>
    <xdr:to>
      <xdr:col>4</xdr:col>
      <xdr:colOff>379705</xdr:colOff>
      <xdr:row>156</xdr:row>
      <xdr:rowOff>358141</xdr:rowOff>
    </xdr:to>
    <xdr:pic>
      <xdr:nvPicPr>
        <xdr:cNvPr id="218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7219315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158</xdr:row>
      <xdr:rowOff>102870</xdr:rowOff>
    </xdr:from>
    <xdr:to>
      <xdr:col>4</xdr:col>
      <xdr:colOff>365760</xdr:colOff>
      <xdr:row>158</xdr:row>
      <xdr:rowOff>360105</xdr:rowOff>
    </xdr:to>
    <xdr:pic>
      <xdr:nvPicPr>
        <xdr:cNvPr id="219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7308088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97156</xdr:colOff>
      <xdr:row>159</xdr:row>
      <xdr:rowOff>144781</xdr:rowOff>
    </xdr:from>
    <xdr:to>
      <xdr:col>4</xdr:col>
      <xdr:colOff>390374</xdr:colOff>
      <xdr:row>159</xdr:row>
      <xdr:rowOff>342901</xdr:rowOff>
    </xdr:to>
    <xdr:pic>
      <xdr:nvPicPr>
        <xdr:cNvPr id="220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>
        <a:xfrm>
          <a:off x="2726055" y="73587610"/>
          <a:ext cx="292735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78105</xdr:colOff>
      <xdr:row>160</xdr:row>
      <xdr:rowOff>108585</xdr:rowOff>
    </xdr:from>
    <xdr:to>
      <xdr:col>4</xdr:col>
      <xdr:colOff>382600</xdr:colOff>
      <xdr:row>160</xdr:row>
      <xdr:rowOff>320040</xdr:rowOff>
    </xdr:to>
    <xdr:pic>
      <xdr:nvPicPr>
        <xdr:cNvPr id="221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>
        <a:xfrm>
          <a:off x="2707005" y="74016235"/>
          <a:ext cx="304165" cy="2114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161</xdr:row>
      <xdr:rowOff>127635</xdr:rowOff>
    </xdr:from>
    <xdr:to>
      <xdr:col>4</xdr:col>
      <xdr:colOff>373380</xdr:colOff>
      <xdr:row>161</xdr:row>
      <xdr:rowOff>327660</xdr:rowOff>
    </xdr:to>
    <xdr:pic>
      <xdr:nvPicPr>
        <xdr:cNvPr id="222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7450010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162</xdr:row>
      <xdr:rowOff>112395</xdr:rowOff>
    </xdr:from>
    <xdr:to>
      <xdr:col>4</xdr:col>
      <xdr:colOff>365557</xdr:colOff>
      <xdr:row>162</xdr:row>
      <xdr:rowOff>342900</xdr:rowOff>
    </xdr:to>
    <xdr:pic>
      <xdr:nvPicPr>
        <xdr:cNvPr id="223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7494968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163</xdr:row>
      <xdr:rowOff>125731</xdr:rowOff>
    </xdr:from>
    <xdr:to>
      <xdr:col>4</xdr:col>
      <xdr:colOff>348025</xdr:colOff>
      <xdr:row>163</xdr:row>
      <xdr:rowOff>365761</xdr:rowOff>
    </xdr:to>
    <xdr:pic>
      <xdr:nvPicPr>
        <xdr:cNvPr id="22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7542784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164</xdr:row>
      <xdr:rowOff>144781</xdr:rowOff>
    </xdr:from>
    <xdr:to>
      <xdr:col>4</xdr:col>
      <xdr:colOff>379705</xdr:colOff>
      <xdr:row>164</xdr:row>
      <xdr:rowOff>358141</xdr:rowOff>
    </xdr:to>
    <xdr:pic>
      <xdr:nvPicPr>
        <xdr:cNvPr id="225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7591171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166</xdr:row>
      <xdr:rowOff>102870</xdr:rowOff>
    </xdr:from>
    <xdr:to>
      <xdr:col>4</xdr:col>
      <xdr:colOff>365760</xdr:colOff>
      <xdr:row>166</xdr:row>
      <xdr:rowOff>360105</xdr:rowOff>
    </xdr:to>
    <xdr:pic>
      <xdr:nvPicPr>
        <xdr:cNvPr id="226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7679944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97156</xdr:colOff>
      <xdr:row>167</xdr:row>
      <xdr:rowOff>144781</xdr:rowOff>
    </xdr:from>
    <xdr:to>
      <xdr:col>4</xdr:col>
      <xdr:colOff>390374</xdr:colOff>
      <xdr:row>167</xdr:row>
      <xdr:rowOff>342901</xdr:rowOff>
    </xdr:to>
    <xdr:pic>
      <xdr:nvPicPr>
        <xdr:cNvPr id="227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>
        <a:xfrm>
          <a:off x="2726055" y="77306170"/>
          <a:ext cx="292735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78105</xdr:colOff>
      <xdr:row>168</xdr:row>
      <xdr:rowOff>108585</xdr:rowOff>
    </xdr:from>
    <xdr:to>
      <xdr:col>4</xdr:col>
      <xdr:colOff>382600</xdr:colOff>
      <xdr:row>168</xdr:row>
      <xdr:rowOff>320040</xdr:rowOff>
    </xdr:to>
    <xdr:pic>
      <xdr:nvPicPr>
        <xdr:cNvPr id="22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>
        <a:xfrm>
          <a:off x="2707005" y="77734795"/>
          <a:ext cx="304165" cy="2114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169</xdr:row>
      <xdr:rowOff>127635</xdr:rowOff>
    </xdr:from>
    <xdr:to>
      <xdr:col>4</xdr:col>
      <xdr:colOff>373380</xdr:colOff>
      <xdr:row>169</xdr:row>
      <xdr:rowOff>327660</xdr:rowOff>
    </xdr:to>
    <xdr:pic>
      <xdr:nvPicPr>
        <xdr:cNvPr id="229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7821866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170</xdr:row>
      <xdr:rowOff>112395</xdr:rowOff>
    </xdr:from>
    <xdr:to>
      <xdr:col>4</xdr:col>
      <xdr:colOff>365557</xdr:colOff>
      <xdr:row>170</xdr:row>
      <xdr:rowOff>342900</xdr:rowOff>
    </xdr:to>
    <xdr:pic>
      <xdr:nvPicPr>
        <xdr:cNvPr id="230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7866824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171</xdr:row>
      <xdr:rowOff>125731</xdr:rowOff>
    </xdr:from>
    <xdr:to>
      <xdr:col>4</xdr:col>
      <xdr:colOff>348025</xdr:colOff>
      <xdr:row>171</xdr:row>
      <xdr:rowOff>365761</xdr:rowOff>
    </xdr:to>
    <xdr:pic>
      <xdr:nvPicPr>
        <xdr:cNvPr id="231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7914640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172</xdr:row>
      <xdr:rowOff>144781</xdr:rowOff>
    </xdr:from>
    <xdr:to>
      <xdr:col>4</xdr:col>
      <xdr:colOff>379705</xdr:colOff>
      <xdr:row>172</xdr:row>
      <xdr:rowOff>358141</xdr:rowOff>
    </xdr:to>
    <xdr:pic>
      <xdr:nvPicPr>
        <xdr:cNvPr id="23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7963027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81915</xdr:colOff>
      <xdr:row>176</xdr:row>
      <xdr:rowOff>102870</xdr:rowOff>
    </xdr:from>
    <xdr:to>
      <xdr:col>4</xdr:col>
      <xdr:colOff>365760</xdr:colOff>
      <xdr:row>176</xdr:row>
      <xdr:rowOff>360105</xdr:rowOff>
    </xdr:to>
    <xdr:pic>
      <xdr:nvPicPr>
        <xdr:cNvPr id="233" name="图片 5" descr="QQ截图201605061123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710815" y="81447640"/>
          <a:ext cx="28384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78105</xdr:colOff>
      <xdr:row>177</xdr:row>
      <xdr:rowOff>108585</xdr:rowOff>
    </xdr:from>
    <xdr:to>
      <xdr:col>4</xdr:col>
      <xdr:colOff>382600</xdr:colOff>
      <xdr:row>177</xdr:row>
      <xdr:rowOff>320040</xdr:rowOff>
    </xdr:to>
    <xdr:pic>
      <xdr:nvPicPr>
        <xdr:cNvPr id="23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>
        <a:xfrm>
          <a:off x="2707005" y="81918175"/>
          <a:ext cx="304165" cy="2114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53340</xdr:colOff>
      <xdr:row>178</xdr:row>
      <xdr:rowOff>120015</xdr:rowOff>
    </xdr:from>
    <xdr:to>
      <xdr:col>4</xdr:col>
      <xdr:colOff>366168</xdr:colOff>
      <xdr:row>178</xdr:row>
      <xdr:rowOff>350520</xdr:rowOff>
    </xdr:to>
    <xdr:pic>
      <xdr:nvPicPr>
        <xdr:cNvPr id="235" name="Picture 11" descr="轨道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>
        <a:xfrm>
          <a:off x="2682240" y="82394425"/>
          <a:ext cx="312420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85725</xdr:colOff>
      <xdr:row>128</xdr:row>
      <xdr:rowOff>127635</xdr:rowOff>
    </xdr:from>
    <xdr:to>
      <xdr:col>4</xdr:col>
      <xdr:colOff>373380</xdr:colOff>
      <xdr:row>128</xdr:row>
      <xdr:rowOff>327660</xdr:rowOff>
    </xdr:to>
    <xdr:pic>
      <xdr:nvPicPr>
        <xdr:cNvPr id="236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2714625" y="59161045"/>
          <a:ext cx="28765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60961</xdr:colOff>
      <xdr:row>129</xdr:row>
      <xdr:rowOff>112395</xdr:rowOff>
    </xdr:from>
    <xdr:to>
      <xdr:col>4</xdr:col>
      <xdr:colOff>365557</xdr:colOff>
      <xdr:row>129</xdr:row>
      <xdr:rowOff>342900</xdr:rowOff>
    </xdr:to>
    <xdr:pic>
      <xdr:nvPicPr>
        <xdr:cNvPr id="237" name="图片 14" descr="插座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689860" y="59610625"/>
          <a:ext cx="304165" cy="230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91441</xdr:colOff>
      <xdr:row>130</xdr:row>
      <xdr:rowOff>125731</xdr:rowOff>
    </xdr:from>
    <xdr:to>
      <xdr:col>4</xdr:col>
      <xdr:colOff>348025</xdr:colOff>
      <xdr:row>130</xdr:row>
      <xdr:rowOff>365761</xdr:rowOff>
    </xdr:to>
    <xdr:pic>
      <xdr:nvPicPr>
        <xdr:cNvPr id="23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2720340" y="60088780"/>
          <a:ext cx="25654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89535</xdr:colOff>
      <xdr:row>131</xdr:row>
      <xdr:rowOff>144781</xdr:rowOff>
    </xdr:from>
    <xdr:to>
      <xdr:col>4</xdr:col>
      <xdr:colOff>379705</xdr:colOff>
      <xdr:row>131</xdr:row>
      <xdr:rowOff>358141</xdr:rowOff>
    </xdr:to>
    <xdr:pic>
      <xdr:nvPicPr>
        <xdr:cNvPr id="239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2718435" y="60572650"/>
          <a:ext cx="289560" cy="213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594"/>
  <sheetViews>
    <sheetView tabSelected="1" workbookViewId="0">
      <selection activeCell="N9" sqref="N9"/>
    </sheetView>
  </sheetViews>
  <sheetFormatPr defaultColWidth="8.75" defaultRowHeight="14.25"/>
  <cols>
    <col min="1" max="1" width="5" style="3" customWidth="1"/>
    <col min="2" max="2" width="8.25" style="30" customWidth="1"/>
    <col min="3" max="3" width="8.125" style="3" customWidth="1"/>
    <col min="4" max="4" width="12.25" style="3" customWidth="1"/>
    <col min="5" max="7" width="5.875" style="3" customWidth="1"/>
    <col min="8" max="8" width="20.75" style="3" customWidth="1"/>
    <col min="9" max="9" width="6.875" style="4" customWidth="1"/>
    <col min="10" max="10" width="6.875" style="5" customWidth="1"/>
    <col min="11" max="11" width="11.125" style="6" customWidth="1"/>
    <col min="12" max="28" width="9" style="4" customWidth="1"/>
    <col min="29" max="252" width="8.75" style="4"/>
  </cols>
  <sheetData>
    <row r="1" spans="1:12" ht="30.95" customHeight="1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2" s="1" customFormat="1" ht="26.25" customHeight="1">
      <c r="A2" s="45" t="s">
        <v>1</v>
      </c>
      <c r="B2" s="46" t="s">
        <v>2</v>
      </c>
      <c r="C2" s="45" t="s">
        <v>3</v>
      </c>
      <c r="D2" s="45" t="s">
        <v>4</v>
      </c>
      <c r="E2" s="38" t="s">
        <v>5</v>
      </c>
      <c r="F2" s="38"/>
      <c r="G2" s="38"/>
      <c r="H2" s="45" t="s">
        <v>6</v>
      </c>
      <c r="I2" s="45" t="s">
        <v>7</v>
      </c>
      <c r="J2" s="63" t="s">
        <v>8</v>
      </c>
      <c r="K2" s="45" t="s">
        <v>9</v>
      </c>
    </row>
    <row r="3" spans="1:12" s="2" customFormat="1" ht="26.25" customHeight="1">
      <c r="A3" s="45"/>
      <c r="B3" s="46"/>
      <c r="C3" s="45"/>
      <c r="D3" s="45"/>
      <c r="E3" s="31" t="s">
        <v>10</v>
      </c>
      <c r="F3" s="7" t="s">
        <v>11</v>
      </c>
      <c r="G3" s="7" t="s">
        <v>12</v>
      </c>
      <c r="H3" s="45"/>
      <c r="I3" s="45"/>
      <c r="J3" s="63"/>
      <c r="K3" s="45"/>
    </row>
    <row r="4" spans="1:12" s="28" customFormat="1" ht="31.5" customHeight="1">
      <c r="A4" s="39" t="s">
        <v>13</v>
      </c>
      <c r="B4" s="39"/>
      <c r="C4" s="39"/>
      <c r="D4" s="9"/>
      <c r="E4" s="10"/>
      <c r="F4" s="11"/>
      <c r="G4" s="11"/>
      <c r="H4" s="11"/>
      <c r="I4" s="11"/>
      <c r="J4" s="16"/>
      <c r="K4" s="11"/>
      <c r="L4" s="2"/>
    </row>
    <row r="5" spans="1:12" s="28" customFormat="1" ht="31.5" customHeight="1">
      <c r="A5" s="40" t="s">
        <v>14</v>
      </c>
      <c r="B5" s="40"/>
      <c r="C5" s="11"/>
      <c r="D5" s="11"/>
      <c r="E5" s="10"/>
      <c r="F5" s="11"/>
      <c r="G5" s="11"/>
      <c r="H5" s="11"/>
      <c r="I5" s="11"/>
      <c r="J5" s="16"/>
      <c r="K5" s="11"/>
      <c r="L5" s="2"/>
    </row>
    <row r="6" spans="1:12" s="28" customFormat="1" ht="31.5" customHeight="1">
      <c r="A6" s="11"/>
      <c r="B6" s="47">
        <v>-0.01</v>
      </c>
      <c r="C6" s="54" t="s">
        <v>15</v>
      </c>
      <c r="D6" s="11" t="s">
        <v>16</v>
      </c>
      <c r="E6" s="10">
        <v>3000</v>
      </c>
      <c r="F6" s="11">
        <v>750</v>
      </c>
      <c r="G6" s="11">
        <v>1100</v>
      </c>
      <c r="H6" s="11" t="s">
        <v>17</v>
      </c>
      <c r="I6" s="10" t="s">
        <v>18</v>
      </c>
      <c r="J6" s="16">
        <v>2.25</v>
      </c>
      <c r="K6" s="11"/>
      <c r="L6" s="2"/>
    </row>
    <row r="7" spans="1:12" s="28" customFormat="1" ht="31.5" customHeight="1">
      <c r="A7" s="11"/>
      <c r="B7" s="47"/>
      <c r="C7" s="55"/>
      <c r="D7" s="11" t="s">
        <v>19</v>
      </c>
      <c r="E7" s="10">
        <v>3918</v>
      </c>
      <c r="F7" s="11">
        <v>280</v>
      </c>
      <c r="G7" s="11">
        <v>3000</v>
      </c>
      <c r="H7" s="11" t="s">
        <v>20</v>
      </c>
      <c r="I7" s="10" t="s">
        <v>18</v>
      </c>
      <c r="J7" s="32">
        <v>11.754</v>
      </c>
      <c r="K7" s="11" t="s">
        <v>21</v>
      </c>
      <c r="L7" s="2"/>
    </row>
    <row r="8" spans="1:12" s="28" customFormat="1" ht="31.5" customHeight="1">
      <c r="A8" s="11"/>
      <c r="B8" s="48"/>
      <c r="C8" s="55"/>
      <c r="D8" s="11" t="s">
        <v>22</v>
      </c>
      <c r="E8" s="10"/>
      <c r="F8" s="11">
        <v>25</v>
      </c>
      <c r="G8" s="11">
        <v>25</v>
      </c>
      <c r="H8" s="11" t="s">
        <v>23</v>
      </c>
      <c r="I8" s="10" t="s">
        <v>24</v>
      </c>
      <c r="J8" s="32">
        <v>2.2200000000000002</v>
      </c>
      <c r="K8" s="11"/>
      <c r="L8" s="2"/>
    </row>
    <row r="9" spans="1:12" s="28" customFormat="1" ht="31.5" customHeight="1">
      <c r="A9" s="11"/>
      <c r="B9" s="48"/>
      <c r="C9" s="55"/>
      <c r="D9" s="11" t="s">
        <v>22</v>
      </c>
      <c r="E9" s="10"/>
      <c r="F9" s="11">
        <v>10</v>
      </c>
      <c r="G9" s="11">
        <v>10</v>
      </c>
      <c r="H9" s="11" t="s">
        <v>23</v>
      </c>
      <c r="I9" s="10" t="s">
        <v>24</v>
      </c>
      <c r="J9" s="32">
        <v>2.2200000000000002</v>
      </c>
      <c r="K9" s="11"/>
      <c r="L9" s="2"/>
    </row>
    <row r="10" spans="1:12" s="28" customFormat="1" ht="31.5" customHeight="1">
      <c r="A10" s="11"/>
      <c r="B10" s="48"/>
      <c r="C10" s="55"/>
      <c r="D10" s="11" t="s">
        <v>25</v>
      </c>
      <c r="E10" s="10">
        <v>3270</v>
      </c>
      <c r="F10" s="11">
        <v>22</v>
      </c>
      <c r="G10" s="11">
        <v>650</v>
      </c>
      <c r="H10" s="11" t="s">
        <v>26</v>
      </c>
      <c r="I10" s="10" t="s">
        <v>18</v>
      </c>
      <c r="J10" s="32">
        <v>2.1255000000000002</v>
      </c>
      <c r="K10" s="11"/>
      <c r="L10" s="2"/>
    </row>
    <row r="11" spans="1:12" s="28" customFormat="1" ht="31.5" customHeight="1">
      <c r="A11" s="11"/>
      <c r="B11" s="48"/>
      <c r="C11" s="55"/>
      <c r="D11" s="11" t="s">
        <v>22</v>
      </c>
      <c r="E11" s="10"/>
      <c r="F11" s="11"/>
      <c r="G11" s="11">
        <v>10</v>
      </c>
      <c r="H11" s="11" t="s">
        <v>23</v>
      </c>
      <c r="I11" s="10" t="s">
        <v>24</v>
      </c>
      <c r="J11" s="32">
        <v>11.16</v>
      </c>
      <c r="K11" s="11"/>
      <c r="L11" s="2"/>
    </row>
    <row r="12" spans="1:12" s="28" customFormat="1" ht="31.5" customHeight="1">
      <c r="A12" s="11"/>
      <c r="B12" s="48"/>
      <c r="C12" s="55"/>
      <c r="D12" s="11" t="s">
        <v>27</v>
      </c>
      <c r="E12" s="10">
        <v>1500</v>
      </c>
      <c r="F12" s="11">
        <v>22</v>
      </c>
      <c r="G12" s="11">
        <v>1610</v>
      </c>
      <c r="H12" s="11" t="s">
        <v>28</v>
      </c>
      <c r="I12" s="10" t="s">
        <v>18</v>
      </c>
      <c r="J12" s="32">
        <v>2.415</v>
      </c>
      <c r="K12" s="11"/>
      <c r="L12" s="2"/>
    </row>
    <row r="13" spans="1:12" s="28" customFormat="1" ht="31.5" customHeight="1">
      <c r="A13" s="11"/>
      <c r="B13" s="48"/>
      <c r="C13" s="55"/>
      <c r="D13" s="11" t="s">
        <v>29</v>
      </c>
      <c r="E13" s="10">
        <v>1500</v>
      </c>
      <c r="F13" s="11">
        <v>36</v>
      </c>
      <c r="G13" s="11">
        <v>380</v>
      </c>
      <c r="H13" s="11" t="s">
        <v>30</v>
      </c>
      <c r="I13" s="10" t="s">
        <v>18</v>
      </c>
      <c r="J13" s="32">
        <v>0.56999999999999995</v>
      </c>
      <c r="K13" s="11"/>
      <c r="L13" s="2"/>
    </row>
    <row r="14" spans="1:12" s="28" customFormat="1" ht="31.5" customHeight="1">
      <c r="A14" s="11"/>
      <c r="B14" s="48"/>
      <c r="C14" s="55"/>
      <c r="D14" s="11" t="s">
        <v>31</v>
      </c>
      <c r="E14" s="10"/>
      <c r="F14" s="11">
        <v>15</v>
      </c>
      <c r="G14" s="11">
        <v>165</v>
      </c>
      <c r="H14" s="11" t="s">
        <v>32</v>
      </c>
      <c r="I14" s="10" t="s">
        <v>33</v>
      </c>
      <c r="J14" s="32">
        <v>2</v>
      </c>
      <c r="K14" s="11"/>
      <c r="L14" s="2"/>
    </row>
    <row r="15" spans="1:12" s="28" customFormat="1" ht="31.5" customHeight="1">
      <c r="A15" s="11"/>
      <c r="B15" s="48"/>
      <c r="C15" s="55"/>
      <c r="D15" s="11" t="s">
        <v>34</v>
      </c>
      <c r="E15" s="10">
        <v>2020</v>
      </c>
      <c r="F15" s="11">
        <v>36</v>
      </c>
      <c r="G15" s="11">
        <v>170</v>
      </c>
      <c r="H15" s="11" t="s">
        <v>35</v>
      </c>
      <c r="I15" s="10" t="s">
        <v>18</v>
      </c>
      <c r="J15" s="32">
        <v>0.34339999999999998</v>
      </c>
      <c r="K15" s="11"/>
      <c r="L15" s="2"/>
    </row>
    <row r="16" spans="1:12" s="28" customFormat="1" ht="31.5" customHeight="1">
      <c r="A16" s="11"/>
      <c r="B16" s="48"/>
      <c r="C16" s="55"/>
      <c r="D16" s="11" t="s">
        <v>31</v>
      </c>
      <c r="E16" s="10"/>
      <c r="F16" s="11">
        <v>15</v>
      </c>
      <c r="G16" s="11">
        <v>60</v>
      </c>
      <c r="H16" s="11" t="s">
        <v>32</v>
      </c>
      <c r="I16" s="10" t="s">
        <v>33</v>
      </c>
      <c r="J16" s="32">
        <v>1</v>
      </c>
      <c r="K16" s="11"/>
      <c r="L16" s="2"/>
    </row>
    <row r="17" spans="1:12" s="28" customFormat="1" ht="31.5" customHeight="1">
      <c r="A17" s="11"/>
      <c r="B17" s="48"/>
      <c r="C17" s="55"/>
      <c r="D17" s="11" t="s">
        <v>36</v>
      </c>
      <c r="E17" s="10">
        <v>100</v>
      </c>
      <c r="F17" s="11">
        <v>21</v>
      </c>
      <c r="G17" s="11">
        <v>2840</v>
      </c>
      <c r="H17" s="11" t="s">
        <v>30</v>
      </c>
      <c r="I17" s="10" t="s">
        <v>37</v>
      </c>
      <c r="J17" s="32">
        <v>4</v>
      </c>
      <c r="K17" s="11"/>
      <c r="L17" s="2"/>
    </row>
    <row r="18" spans="1:12" s="28" customFormat="1" ht="31.5" customHeight="1">
      <c r="A18" s="11"/>
      <c r="B18" s="48"/>
      <c r="C18" s="55"/>
      <c r="D18" s="11" t="s">
        <v>38</v>
      </c>
      <c r="E18" s="10"/>
      <c r="F18" s="11">
        <v>49</v>
      </c>
      <c r="G18" s="11">
        <v>120</v>
      </c>
      <c r="H18" s="11" t="s">
        <v>39</v>
      </c>
      <c r="I18" s="10" t="s">
        <v>24</v>
      </c>
      <c r="J18" s="32">
        <v>7.1</v>
      </c>
      <c r="K18" s="11"/>
      <c r="L18" s="2"/>
    </row>
    <row r="19" spans="1:12" s="28" customFormat="1" ht="31.5" customHeight="1">
      <c r="A19" s="11"/>
      <c r="B19" s="48"/>
      <c r="C19" s="55"/>
      <c r="D19" s="11" t="s">
        <v>40</v>
      </c>
      <c r="E19" s="10"/>
      <c r="F19" s="11">
        <v>60</v>
      </c>
      <c r="G19" s="11">
        <v>260</v>
      </c>
      <c r="H19" s="11" t="s">
        <v>41</v>
      </c>
      <c r="I19" s="10" t="s">
        <v>24</v>
      </c>
      <c r="J19" s="32">
        <v>2.2400000000000002</v>
      </c>
      <c r="K19" s="11"/>
      <c r="L19" s="2"/>
    </row>
    <row r="20" spans="1:12" s="28" customFormat="1" ht="31.5" customHeight="1">
      <c r="A20" s="11"/>
      <c r="B20" s="48"/>
      <c r="C20" s="55"/>
      <c r="D20" s="11" t="s">
        <v>42</v>
      </c>
      <c r="E20" s="10">
        <v>2020</v>
      </c>
      <c r="F20" s="11">
        <v>36</v>
      </c>
      <c r="G20" s="11">
        <v>3000</v>
      </c>
      <c r="H20" s="11" t="s">
        <v>26</v>
      </c>
      <c r="I20" s="10" t="s">
        <v>18</v>
      </c>
      <c r="J20" s="32">
        <v>5.7569999999999997</v>
      </c>
      <c r="K20" s="11"/>
      <c r="L20" s="2"/>
    </row>
    <row r="21" spans="1:12" s="28" customFormat="1" ht="31.5" customHeight="1">
      <c r="A21" s="11"/>
      <c r="B21" s="48"/>
      <c r="C21" s="55"/>
      <c r="D21" s="11" t="s">
        <v>43</v>
      </c>
      <c r="E21" s="10"/>
      <c r="F21" s="11"/>
      <c r="G21" s="11"/>
      <c r="H21" s="11"/>
      <c r="I21" s="10" t="s">
        <v>18</v>
      </c>
      <c r="J21" s="32">
        <v>5.7569999999999997</v>
      </c>
      <c r="K21" s="11"/>
      <c r="L21" s="2"/>
    </row>
    <row r="22" spans="1:12" s="28" customFormat="1" ht="31.5" customHeight="1">
      <c r="A22" s="11"/>
      <c r="B22" s="48"/>
      <c r="C22" s="55"/>
      <c r="D22" s="11" t="s">
        <v>44</v>
      </c>
      <c r="E22" s="10">
        <v>2415</v>
      </c>
      <c r="F22" s="11">
        <v>330</v>
      </c>
      <c r="G22" s="11">
        <v>3000</v>
      </c>
      <c r="H22" s="11" t="s">
        <v>20</v>
      </c>
      <c r="I22" s="10" t="s">
        <v>18</v>
      </c>
      <c r="J22" s="32">
        <f t="shared" ref="J22:J54" si="0">E22*G22/1000000</f>
        <v>7.2450000000000001</v>
      </c>
      <c r="K22" s="11" t="s">
        <v>45</v>
      </c>
      <c r="L22" s="2"/>
    </row>
    <row r="23" spans="1:12" s="28" customFormat="1" ht="31.5" customHeight="1">
      <c r="A23" s="11"/>
      <c r="B23" s="48"/>
      <c r="C23" s="55"/>
      <c r="D23" s="11" t="s">
        <v>46</v>
      </c>
      <c r="E23" s="10">
        <v>2415</v>
      </c>
      <c r="F23" s="11">
        <v>330</v>
      </c>
      <c r="G23" s="11">
        <v>3000</v>
      </c>
      <c r="H23" s="11" t="s">
        <v>20</v>
      </c>
      <c r="I23" s="10" t="s">
        <v>18</v>
      </c>
      <c r="J23" s="32">
        <f t="shared" ref="J23" si="1">E23*G23/1000000</f>
        <v>7.2450000000000001</v>
      </c>
      <c r="K23" s="11" t="s">
        <v>45</v>
      </c>
      <c r="L23" s="2"/>
    </row>
    <row r="24" spans="1:12" s="28" customFormat="1" ht="31.5" customHeight="1">
      <c r="A24" s="11"/>
      <c r="B24" s="48"/>
      <c r="C24" s="56" t="s">
        <v>47</v>
      </c>
      <c r="D24" s="11" t="s">
        <v>42</v>
      </c>
      <c r="E24" s="10">
        <f>1640+270+270</f>
        <v>2180</v>
      </c>
      <c r="F24" s="11">
        <v>36</v>
      </c>
      <c r="G24" s="11">
        <v>3130</v>
      </c>
      <c r="H24" s="11" t="s">
        <v>26</v>
      </c>
      <c r="I24" s="10" t="s">
        <v>18</v>
      </c>
      <c r="J24" s="32">
        <v>5.7569999999999997</v>
      </c>
      <c r="K24" s="11"/>
      <c r="L24" s="2"/>
    </row>
    <row r="25" spans="1:12" s="28" customFormat="1" ht="31.5" customHeight="1">
      <c r="A25" s="11"/>
      <c r="B25" s="48"/>
      <c r="C25" s="57"/>
      <c r="D25" s="11" t="s">
        <v>43</v>
      </c>
      <c r="E25" s="10"/>
      <c r="F25" s="11"/>
      <c r="G25" s="11"/>
      <c r="H25" s="11"/>
      <c r="I25" s="10" t="s">
        <v>18</v>
      </c>
      <c r="J25" s="32">
        <v>5.7569999999999997</v>
      </c>
      <c r="K25" s="11"/>
      <c r="L25" s="2"/>
    </row>
    <row r="26" spans="1:12" s="28" customFormat="1" ht="31.5" customHeight="1">
      <c r="A26" s="11"/>
      <c r="B26" s="48"/>
      <c r="C26" s="57"/>
      <c r="D26" s="11" t="s">
        <v>22</v>
      </c>
      <c r="E26" s="10"/>
      <c r="F26" s="11"/>
      <c r="G26" s="11">
        <v>5</v>
      </c>
      <c r="H26" s="11" t="s">
        <v>23</v>
      </c>
      <c r="I26" s="10" t="s">
        <v>24</v>
      </c>
      <c r="J26" s="32">
        <f>14.82+7</f>
        <v>21.82</v>
      </c>
      <c r="K26" s="11"/>
      <c r="L26" s="2"/>
    </row>
    <row r="27" spans="1:12" s="28" customFormat="1" ht="31.5" customHeight="1">
      <c r="A27" s="11"/>
      <c r="B27" s="48"/>
      <c r="C27" s="57"/>
      <c r="D27" s="11" t="s">
        <v>48</v>
      </c>
      <c r="E27" s="10">
        <f>965+80+80</f>
        <v>1125</v>
      </c>
      <c r="F27" s="11">
        <v>500</v>
      </c>
      <c r="G27" s="11">
        <v>3000</v>
      </c>
      <c r="H27" s="11" t="s">
        <v>20</v>
      </c>
      <c r="I27" s="10" t="s">
        <v>18</v>
      </c>
      <c r="J27" s="32">
        <f t="shared" si="0"/>
        <v>3.375</v>
      </c>
      <c r="K27" s="11" t="s">
        <v>21</v>
      </c>
      <c r="L27" s="2"/>
    </row>
    <row r="28" spans="1:12" s="28" customFormat="1" ht="31.5" customHeight="1">
      <c r="A28" s="11"/>
      <c r="B28" s="48"/>
      <c r="C28" s="57"/>
      <c r="D28" s="11" t="s">
        <v>49</v>
      </c>
      <c r="E28" s="10"/>
      <c r="F28" s="11">
        <v>36</v>
      </c>
      <c r="G28" s="11">
        <v>80</v>
      </c>
      <c r="H28" s="11" t="s">
        <v>39</v>
      </c>
      <c r="I28" s="10" t="s">
        <v>24</v>
      </c>
      <c r="J28" s="32">
        <v>7</v>
      </c>
      <c r="K28" s="11"/>
      <c r="L28" s="2"/>
    </row>
    <row r="29" spans="1:12" s="28" customFormat="1" ht="31.5" customHeight="1">
      <c r="A29" s="11"/>
      <c r="B29" s="48"/>
      <c r="C29" s="57"/>
      <c r="D29" s="11" t="s">
        <v>22</v>
      </c>
      <c r="E29" s="10"/>
      <c r="F29" s="11"/>
      <c r="G29" s="11">
        <v>5</v>
      </c>
      <c r="H29" s="11" t="s">
        <v>23</v>
      </c>
      <c r="I29" s="10" t="s">
        <v>24</v>
      </c>
      <c r="J29" s="32">
        <v>2.31</v>
      </c>
      <c r="K29" s="11"/>
      <c r="L29" s="2"/>
    </row>
    <row r="30" spans="1:12" s="28" customFormat="1" ht="31.5" customHeight="1">
      <c r="A30" s="11"/>
      <c r="B30" s="48"/>
      <c r="C30" s="57"/>
      <c r="D30" s="11" t="s">
        <v>50</v>
      </c>
      <c r="E30" s="10">
        <f>965+80+80</f>
        <v>1125</v>
      </c>
      <c r="F30" s="11">
        <v>500</v>
      </c>
      <c r="G30" s="11">
        <v>3000</v>
      </c>
      <c r="H30" s="11" t="s">
        <v>51</v>
      </c>
      <c r="I30" s="10" t="s">
        <v>18</v>
      </c>
      <c r="J30" s="32">
        <f t="shared" ref="J30" si="2">E30*G30/1000000</f>
        <v>3.375</v>
      </c>
      <c r="K30" s="11" t="s">
        <v>21</v>
      </c>
      <c r="L30" s="2"/>
    </row>
    <row r="31" spans="1:12" s="28" customFormat="1" ht="31.5" customHeight="1">
      <c r="A31" s="11"/>
      <c r="B31" s="48"/>
      <c r="C31" s="57"/>
      <c r="D31" s="11" t="s">
        <v>49</v>
      </c>
      <c r="E31" s="10"/>
      <c r="F31" s="11">
        <v>36</v>
      </c>
      <c r="G31" s="11">
        <v>80</v>
      </c>
      <c r="H31" s="11" t="s">
        <v>39</v>
      </c>
      <c r="I31" s="10" t="s">
        <v>24</v>
      </c>
      <c r="J31" s="32">
        <v>7</v>
      </c>
      <c r="K31" s="11"/>
      <c r="L31" s="2"/>
    </row>
    <row r="32" spans="1:12" s="28" customFormat="1" ht="31.5" customHeight="1">
      <c r="A32" s="11"/>
      <c r="B32" s="48"/>
      <c r="C32" s="57"/>
      <c r="D32" s="11" t="s">
        <v>22</v>
      </c>
      <c r="E32" s="10"/>
      <c r="F32" s="11"/>
      <c r="G32" s="11">
        <v>5</v>
      </c>
      <c r="H32" s="11" t="s">
        <v>23</v>
      </c>
      <c r="I32" s="10" t="s">
        <v>24</v>
      </c>
      <c r="J32" s="32">
        <v>2.31</v>
      </c>
      <c r="K32" s="11"/>
      <c r="L32" s="2"/>
    </row>
    <row r="33" spans="1:12" s="28" customFormat="1" ht="31.5" customHeight="1">
      <c r="A33" s="11"/>
      <c r="B33" s="48"/>
      <c r="C33" s="57"/>
      <c r="D33" s="11" t="s">
        <v>52</v>
      </c>
      <c r="E33" s="10"/>
      <c r="F33" s="11">
        <v>36</v>
      </c>
      <c r="G33" s="11">
        <v>80</v>
      </c>
      <c r="H33" s="11" t="s">
        <v>39</v>
      </c>
      <c r="I33" s="10" t="s">
        <v>18</v>
      </c>
      <c r="J33" s="32">
        <f>(E34*2+G34*4)/1000</f>
        <v>16.71</v>
      </c>
      <c r="K33" s="11"/>
      <c r="L33" s="2"/>
    </row>
    <row r="34" spans="1:12" s="28" customFormat="1" ht="31.5" customHeight="1">
      <c r="A34" s="11"/>
      <c r="B34" s="48"/>
      <c r="C34" s="57"/>
      <c r="D34" s="11" t="s">
        <v>53</v>
      </c>
      <c r="E34" s="10">
        <f>2195+160</f>
        <v>2355</v>
      </c>
      <c r="F34" s="11">
        <v>500</v>
      </c>
      <c r="G34" s="11">
        <v>3000</v>
      </c>
      <c r="H34" s="11" t="s">
        <v>20</v>
      </c>
      <c r="I34" s="10" t="s">
        <v>18</v>
      </c>
      <c r="J34" s="32">
        <f>(E34+G34*2)*F34/1000000</f>
        <v>4.1775000000000002</v>
      </c>
      <c r="K34" s="11"/>
      <c r="L34" s="2"/>
    </row>
    <row r="35" spans="1:12" s="28" customFormat="1" ht="31.5" customHeight="1">
      <c r="A35" s="11"/>
      <c r="B35" s="47">
        <v>-0.01</v>
      </c>
      <c r="C35" s="56" t="s">
        <v>54</v>
      </c>
      <c r="D35" s="11" t="s">
        <v>55</v>
      </c>
      <c r="E35" s="10"/>
      <c r="F35" s="11">
        <v>36</v>
      </c>
      <c r="G35" s="11">
        <v>80</v>
      </c>
      <c r="H35" s="11" t="s">
        <v>39</v>
      </c>
      <c r="I35" s="10" t="s">
        <v>18</v>
      </c>
      <c r="J35" s="32">
        <f>(E36*2+G36*4)/1000</f>
        <v>12</v>
      </c>
      <c r="K35" s="11"/>
      <c r="L35" s="2"/>
    </row>
    <row r="36" spans="1:12" s="28" customFormat="1" ht="31.5" customHeight="1">
      <c r="A36" s="11"/>
      <c r="B36" s="48"/>
      <c r="C36" s="57"/>
      <c r="D36" s="11" t="s">
        <v>53</v>
      </c>
      <c r="E36" s="10"/>
      <c r="F36" s="11">
        <v>500</v>
      </c>
      <c r="G36" s="11">
        <v>3000</v>
      </c>
      <c r="H36" s="11" t="s">
        <v>20</v>
      </c>
      <c r="I36" s="10" t="s">
        <v>18</v>
      </c>
      <c r="J36" s="32">
        <f>(E36+G36*2)*F36/1000000</f>
        <v>3</v>
      </c>
      <c r="K36" s="11"/>
      <c r="L36" s="2"/>
    </row>
    <row r="37" spans="1:12" s="28" customFormat="1" ht="31.5" customHeight="1">
      <c r="A37" s="11"/>
      <c r="B37" s="48"/>
      <c r="C37" s="57"/>
      <c r="D37" s="11" t="s">
        <v>42</v>
      </c>
      <c r="E37" s="10">
        <v>4545</v>
      </c>
      <c r="F37" s="11">
        <v>36</v>
      </c>
      <c r="G37" s="11">
        <v>3000</v>
      </c>
      <c r="H37" s="11" t="s">
        <v>26</v>
      </c>
      <c r="I37" s="10" t="s">
        <v>18</v>
      </c>
      <c r="J37" s="32">
        <v>5.7569999999999997</v>
      </c>
      <c r="K37" s="11"/>
      <c r="L37" s="2"/>
    </row>
    <row r="38" spans="1:12" s="28" customFormat="1" ht="31.5" customHeight="1">
      <c r="A38" s="11"/>
      <c r="B38" s="48"/>
      <c r="C38" s="57"/>
      <c r="D38" s="11" t="s">
        <v>43</v>
      </c>
      <c r="E38" s="10"/>
      <c r="F38" s="11"/>
      <c r="G38" s="11"/>
      <c r="H38" s="11"/>
      <c r="I38" s="10" t="s">
        <v>18</v>
      </c>
      <c r="J38" s="32">
        <v>5.7569999999999997</v>
      </c>
      <c r="K38" s="11"/>
      <c r="L38" s="2"/>
    </row>
    <row r="39" spans="1:12" s="28" customFormat="1" ht="31.5" customHeight="1">
      <c r="A39" s="11"/>
      <c r="B39" s="48"/>
      <c r="C39" s="57"/>
      <c r="D39" s="11" t="s">
        <v>22</v>
      </c>
      <c r="E39" s="10"/>
      <c r="F39" s="11"/>
      <c r="G39" s="11">
        <v>5</v>
      </c>
      <c r="H39" s="11" t="s">
        <v>23</v>
      </c>
      <c r="I39" s="10" t="s">
        <v>24</v>
      </c>
      <c r="J39" s="32">
        <f>21.84+2.65*4+0.12*4+0.45*4+0.53*2+1.95*2+2.65*2+0.12*2+0.41*4+0.53*2+1.95*2</f>
        <v>51.82</v>
      </c>
      <c r="K39" s="11"/>
      <c r="L39" s="2"/>
    </row>
    <row r="40" spans="1:12" s="28" customFormat="1" ht="31.5" customHeight="1">
      <c r="A40" s="11"/>
      <c r="B40" s="48"/>
      <c r="C40" s="57"/>
      <c r="D40" s="11" t="s">
        <v>56</v>
      </c>
      <c r="E40" s="10"/>
      <c r="F40" s="11">
        <v>36</v>
      </c>
      <c r="G40" s="11">
        <v>80</v>
      </c>
      <c r="H40" s="11" t="s">
        <v>39</v>
      </c>
      <c r="I40" s="10" t="s">
        <v>18</v>
      </c>
      <c r="J40" s="32">
        <f>(E41*2+G41*4)/1000</f>
        <v>14.89</v>
      </c>
      <c r="K40" s="11"/>
      <c r="L40" s="2"/>
    </row>
    <row r="41" spans="1:12" s="28" customFormat="1" ht="31.5" customHeight="1">
      <c r="A41" s="11"/>
      <c r="B41" s="48"/>
      <c r="C41" s="57"/>
      <c r="D41" s="11" t="s">
        <v>53</v>
      </c>
      <c r="E41" s="10">
        <f>1285+160</f>
        <v>1445</v>
      </c>
      <c r="F41" s="11">
        <v>530</v>
      </c>
      <c r="G41" s="11">
        <v>3000</v>
      </c>
      <c r="H41" s="11" t="s">
        <v>20</v>
      </c>
      <c r="I41" s="10" t="s">
        <v>18</v>
      </c>
      <c r="J41" s="32">
        <f>(E41+G41*2)*F41/1000000</f>
        <v>3.9458500000000001</v>
      </c>
      <c r="K41" s="11"/>
      <c r="L41" s="2"/>
    </row>
    <row r="42" spans="1:12" s="28" customFormat="1" ht="31.5" customHeight="1">
      <c r="A42" s="11"/>
      <c r="B42" s="48"/>
      <c r="C42" s="57"/>
      <c r="D42" s="11" t="s">
        <v>57</v>
      </c>
      <c r="E42" s="10">
        <f>E41-160</f>
        <v>1285</v>
      </c>
      <c r="F42" s="11">
        <v>50</v>
      </c>
      <c r="G42" s="11">
        <f>G41-680</f>
        <v>2320</v>
      </c>
      <c r="H42" s="11" t="s">
        <v>58</v>
      </c>
      <c r="I42" s="10" t="s">
        <v>18</v>
      </c>
      <c r="J42" s="32">
        <f t="shared" si="0"/>
        <v>2.9811999999999999</v>
      </c>
      <c r="K42" s="11"/>
      <c r="L42" s="2"/>
    </row>
    <row r="43" spans="1:12" s="28" customFormat="1" ht="31.5" customHeight="1">
      <c r="A43" s="11"/>
      <c r="B43" s="48"/>
      <c r="C43" s="57"/>
      <c r="D43" s="11" t="s">
        <v>59</v>
      </c>
      <c r="E43" s="10">
        <v>1285</v>
      </c>
      <c r="F43" s="11">
        <v>32</v>
      </c>
      <c r="G43" s="11">
        <v>680</v>
      </c>
      <c r="H43" s="11" t="s">
        <v>35</v>
      </c>
      <c r="I43" s="10" t="s">
        <v>18</v>
      </c>
      <c r="J43" s="32">
        <f t="shared" ref="J43" si="3">E43*G43/1000000</f>
        <v>0.87380000000000002</v>
      </c>
      <c r="K43" s="11"/>
      <c r="L43" s="2"/>
    </row>
    <row r="44" spans="1:12" s="28" customFormat="1" ht="31.5" customHeight="1">
      <c r="A44" s="11"/>
      <c r="B44" s="48"/>
      <c r="C44" s="57"/>
      <c r="D44" s="11" t="s">
        <v>59</v>
      </c>
      <c r="E44" s="10">
        <v>1285</v>
      </c>
      <c r="F44" s="11">
        <v>32</v>
      </c>
      <c r="G44" s="11">
        <v>680</v>
      </c>
      <c r="H44" s="11" t="s">
        <v>35</v>
      </c>
      <c r="I44" s="10" t="s">
        <v>18</v>
      </c>
      <c r="J44" s="32">
        <f t="shared" ref="J44" si="4">E44*G44/1000000</f>
        <v>0.87380000000000002</v>
      </c>
      <c r="K44" s="11"/>
      <c r="L44" s="2"/>
    </row>
    <row r="45" spans="1:12" s="28" customFormat="1" ht="31.5" customHeight="1">
      <c r="A45" s="11"/>
      <c r="B45" s="48"/>
      <c r="C45" s="57"/>
      <c r="D45" s="11" t="s">
        <v>60</v>
      </c>
      <c r="E45" s="10"/>
      <c r="F45" s="11">
        <v>36</v>
      </c>
      <c r="G45" s="11">
        <v>80</v>
      </c>
      <c r="H45" s="11" t="s">
        <v>39</v>
      </c>
      <c r="I45" s="10" t="s">
        <v>24</v>
      </c>
      <c r="J45" s="32">
        <v>7.1</v>
      </c>
      <c r="K45" s="11"/>
      <c r="L45" s="2"/>
    </row>
    <row r="46" spans="1:12" s="28" customFormat="1" ht="31.5" customHeight="1">
      <c r="A46" s="11"/>
      <c r="B46" s="48"/>
      <c r="C46" s="56" t="s">
        <v>61</v>
      </c>
      <c r="D46" s="11" t="s">
        <v>42</v>
      </c>
      <c r="E46" s="10">
        <f>425+80+425+80+245+80</f>
        <v>1335</v>
      </c>
      <c r="F46" s="11">
        <v>36</v>
      </c>
      <c r="G46" s="11">
        <v>3130</v>
      </c>
      <c r="H46" s="11" t="s">
        <v>62</v>
      </c>
      <c r="I46" s="10" t="s">
        <v>18</v>
      </c>
      <c r="J46" s="32">
        <v>5.7569999999999997</v>
      </c>
      <c r="K46" s="11"/>
      <c r="L46" s="2"/>
    </row>
    <row r="47" spans="1:12" s="28" customFormat="1" ht="31.5" customHeight="1">
      <c r="A47" s="11"/>
      <c r="B47" s="48"/>
      <c r="C47" s="57"/>
      <c r="D47" s="11" t="s">
        <v>43</v>
      </c>
      <c r="E47" s="10"/>
      <c r="F47" s="11"/>
      <c r="G47" s="11"/>
      <c r="H47" s="11"/>
      <c r="I47" s="10" t="s">
        <v>18</v>
      </c>
      <c r="J47" s="32">
        <v>5.7569999999999997</v>
      </c>
      <c r="K47" s="11"/>
      <c r="L47" s="2"/>
    </row>
    <row r="48" spans="1:12" s="28" customFormat="1" ht="31.5" customHeight="1">
      <c r="A48" s="11"/>
      <c r="B48" s="48"/>
      <c r="C48" s="57"/>
      <c r="D48" s="11" t="s">
        <v>22</v>
      </c>
      <c r="E48" s="10"/>
      <c r="F48" s="11"/>
      <c r="G48" s="11">
        <v>5</v>
      </c>
      <c r="H48" s="11" t="s">
        <v>23</v>
      </c>
      <c r="I48" s="10" t="s">
        <v>24</v>
      </c>
      <c r="J48" s="32">
        <f>2.65*6+0.6*2+0.12*2</f>
        <v>17.34</v>
      </c>
      <c r="K48" s="11"/>
      <c r="L48" s="2"/>
    </row>
    <row r="49" spans="1:12" s="28" customFormat="1" ht="31.5" customHeight="1">
      <c r="A49" s="11"/>
      <c r="B49" s="48"/>
      <c r="C49" s="57"/>
      <c r="D49" s="11" t="s">
        <v>63</v>
      </c>
      <c r="E49" s="10"/>
      <c r="F49" s="11">
        <v>36</v>
      </c>
      <c r="G49" s="11">
        <v>80</v>
      </c>
      <c r="H49" s="11" t="s">
        <v>39</v>
      </c>
      <c r="I49" s="10" t="s">
        <v>18</v>
      </c>
      <c r="J49" s="32">
        <f>(E50*2+G50*4)/1000</f>
        <v>21.18</v>
      </c>
      <c r="K49" s="11"/>
      <c r="L49" s="2"/>
    </row>
    <row r="50" spans="1:12" s="28" customFormat="1" ht="31.5" customHeight="1">
      <c r="A50" s="11"/>
      <c r="B50" s="48"/>
      <c r="C50" s="57"/>
      <c r="D50" s="11" t="s">
        <v>53</v>
      </c>
      <c r="E50" s="10">
        <f>3590+420*2+160</f>
        <v>4590</v>
      </c>
      <c r="F50" s="11">
        <v>360</v>
      </c>
      <c r="G50" s="11">
        <v>3000</v>
      </c>
      <c r="H50" s="11" t="s">
        <v>20</v>
      </c>
      <c r="I50" s="10" t="s">
        <v>18</v>
      </c>
      <c r="J50" s="32">
        <f>(E50+G50*2)*F50/1000000</f>
        <v>3.8123999999999998</v>
      </c>
      <c r="K50" s="11"/>
      <c r="L50" s="2"/>
    </row>
    <row r="51" spans="1:12" s="28" customFormat="1" ht="31.5" customHeight="1">
      <c r="A51" s="11"/>
      <c r="B51" s="48"/>
      <c r="C51" s="57"/>
      <c r="D51" s="11" t="s">
        <v>64</v>
      </c>
      <c r="E51" s="10"/>
      <c r="F51" s="11">
        <v>36</v>
      </c>
      <c r="G51" s="11">
        <v>80</v>
      </c>
      <c r="H51" s="11" t="s">
        <v>39</v>
      </c>
      <c r="I51" s="10" t="s">
        <v>18</v>
      </c>
      <c r="J51" s="32">
        <f>(E52*2+G52*4)/1000</f>
        <v>13.9</v>
      </c>
      <c r="K51" s="11"/>
      <c r="L51" s="2"/>
    </row>
    <row r="52" spans="1:12" s="28" customFormat="1" ht="31.5" customHeight="1">
      <c r="A52" s="11"/>
      <c r="B52" s="48"/>
      <c r="C52" s="57"/>
      <c r="D52" s="11" t="s">
        <v>53</v>
      </c>
      <c r="E52" s="10">
        <v>950</v>
      </c>
      <c r="F52" s="11">
        <v>360</v>
      </c>
      <c r="G52" s="11">
        <v>3000</v>
      </c>
      <c r="H52" s="11" t="s">
        <v>20</v>
      </c>
      <c r="I52" s="10" t="s">
        <v>18</v>
      </c>
      <c r="J52" s="32">
        <f>(E52+G52*2)*F52/1000000</f>
        <v>2.5019999999999998</v>
      </c>
      <c r="K52" s="11"/>
      <c r="L52" s="2"/>
    </row>
    <row r="53" spans="1:12" s="28" customFormat="1" ht="31.5" customHeight="1">
      <c r="A53" s="11"/>
      <c r="B53" s="48"/>
      <c r="C53" s="57"/>
      <c r="D53" s="11" t="s">
        <v>65</v>
      </c>
      <c r="E53" s="10">
        <f>E52-150</f>
        <v>800</v>
      </c>
      <c r="F53" s="11">
        <v>50</v>
      </c>
      <c r="G53" s="11">
        <v>2400</v>
      </c>
      <c r="H53" s="11" t="s">
        <v>66</v>
      </c>
      <c r="I53" s="10" t="s">
        <v>18</v>
      </c>
      <c r="J53" s="32">
        <f t="shared" si="0"/>
        <v>1.92</v>
      </c>
      <c r="K53" s="11" t="s">
        <v>67</v>
      </c>
      <c r="L53" s="2"/>
    </row>
    <row r="54" spans="1:12" s="28" customFormat="1" ht="31.5" customHeight="1">
      <c r="A54" s="11"/>
      <c r="B54" s="48"/>
      <c r="C54" s="57"/>
      <c r="D54" s="11" t="s">
        <v>59</v>
      </c>
      <c r="E54" s="10">
        <v>800</v>
      </c>
      <c r="F54" s="11">
        <v>32</v>
      </c>
      <c r="G54" s="11">
        <v>700</v>
      </c>
      <c r="H54" s="11" t="s">
        <v>35</v>
      </c>
      <c r="I54" s="10" t="s">
        <v>18</v>
      </c>
      <c r="J54" s="32">
        <f t="shared" si="0"/>
        <v>0.56000000000000005</v>
      </c>
      <c r="K54" s="11"/>
      <c r="L54" s="2"/>
    </row>
    <row r="55" spans="1:12" s="28" customFormat="1" ht="31.5" customHeight="1">
      <c r="A55" s="11"/>
      <c r="B55" s="48"/>
      <c r="C55" s="57"/>
      <c r="D55" s="11" t="s">
        <v>59</v>
      </c>
      <c r="E55" s="10">
        <v>800</v>
      </c>
      <c r="F55" s="11">
        <v>32</v>
      </c>
      <c r="G55" s="11">
        <v>700</v>
      </c>
      <c r="H55" s="11" t="s">
        <v>35</v>
      </c>
      <c r="I55" s="10" t="s">
        <v>18</v>
      </c>
      <c r="J55" s="32">
        <f t="shared" ref="J55" si="5">E55*G55/1000000</f>
        <v>0.56000000000000005</v>
      </c>
      <c r="K55" s="11"/>
      <c r="L55" s="2"/>
    </row>
    <row r="56" spans="1:12" s="28" customFormat="1" ht="31.5" customHeight="1">
      <c r="A56" s="11"/>
      <c r="B56" s="49"/>
      <c r="C56" s="58"/>
      <c r="D56" s="11" t="s">
        <v>22</v>
      </c>
      <c r="E56" s="10"/>
      <c r="F56" s="11"/>
      <c r="G56" s="11">
        <v>5</v>
      </c>
      <c r="H56" s="11" t="s">
        <v>23</v>
      </c>
      <c r="I56" s="10" t="s">
        <v>24</v>
      </c>
      <c r="J56" s="32">
        <v>6.5</v>
      </c>
      <c r="K56" s="11"/>
      <c r="L56" s="2"/>
    </row>
    <row r="57" spans="1:12" s="28" customFormat="1" ht="31.5" customHeight="1">
      <c r="A57" s="11"/>
      <c r="B57" s="47">
        <v>-1E-3</v>
      </c>
      <c r="C57" s="56" t="s">
        <v>68</v>
      </c>
      <c r="D57" s="11" t="s">
        <v>69</v>
      </c>
      <c r="E57" s="10"/>
      <c r="F57" s="11">
        <v>36</v>
      </c>
      <c r="G57" s="11">
        <v>80</v>
      </c>
      <c r="H57" s="11" t="s">
        <v>39</v>
      </c>
      <c r="I57" s="10" t="s">
        <v>18</v>
      </c>
      <c r="J57" s="32">
        <f>(E58*2+G58*4)/1000</f>
        <v>14</v>
      </c>
      <c r="K57" s="11"/>
      <c r="L57" s="2"/>
    </row>
    <row r="58" spans="1:12" s="28" customFormat="1" ht="31.5" customHeight="1">
      <c r="A58" s="11"/>
      <c r="B58" s="48"/>
      <c r="C58" s="57"/>
      <c r="D58" s="11" t="s">
        <v>53</v>
      </c>
      <c r="E58" s="10">
        <v>1000</v>
      </c>
      <c r="F58" s="11">
        <v>200</v>
      </c>
      <c r="G58" s="11">
        <v>3000</v>
      </c>
      <c r="H58" s="11" t="s">
        <v>20</v>
      </c>
      <c r="I58" s="10" t="s">
        <v>18</v>
      </c>
      <c r="J58" s="32">
        <f>(E58+G58*2)*F58/1000000</f>
        <v>1.4</v>
      </c>
      <c r="K58" s="11"/>
      <c r="L58" s="2"/>
    </row>
    <row r="59" spans="1:12" s="28" customFormat="1" ht="31.5" customHeight="1">
      <c r="A59" s="11"/>
      <c r="B59" s="48"/>
      <c r="C59" s="57"/>
      <c r="D59" s="11" t="s">
        <v>65</v>
      </c>
      <c r="E59" s="10">
        <f>E58-150</f>
        <v>850</v>
      </c>
      <c r="F59" s="11">
        <v>50</v>
      </c>
      <c r="G59" s="11">
        <f>G58-600</f>
        <v>2400</v>
      </c>
      <c r="H59" s="11" t="s">
        <v>35</v>
      </c>
      <c r="I59" s="10" t="s">
        <v>18</v>
      </c>
      <c r="J59" s="32">
        <f t="shared" ref="J59:J60" si="6">E59*G59/1000000</f>
        <v>2.04</v>
      </c>
      <c r="K59" s="11"/>
      <c r="L59" s="2"/>
    </row>
    <row r="60" spans="1:12" s="28" customFormat="1" ht="31.5" customHeight="1">
      <c r="A60" s="11"/>
      <c r="B60" s="48"/>
      <c r="C60" s="57"/>
      <c r="D60" s="11" t="s">
        <v>59</v>
      </c>
      <c r="E60" s="10">
        <v>850</v>
      </c>
      <c r="F60" s="11">
        <v>32</v>
      </c>
      <c r="G60" s="11">
        <v>600</v>
      </c>
      <c r="H60" s="11" t="s">
        <v>35</v>
      </c>
      <c r="I60" s="10" t="s">
        <v>18</v>
      </c>
      <c r="J60" s="32">
        <f t="shared" si="6"/>
        <v>0.51</v>
      </c>
      <c r="K60" s="11"/>
      <c r="L60" s="2"/>
    </row>
    <row r="61" spans="1:12" s="28" customFormat="1" ht="31.5" customHeight="1">
      <c r="A61" s="11"/>
      <c r="B61" s="48"/>
      <c r="C61" s="57"/>
      <c r="D61" s="11" t="s">
        <v>59</v>
      </c>
      <c r="E61" s="10">
        <v>850</v>
      </c>
      <c r="F61" s="11">
        <v>32</v>
      </c>
      <c r="G61" s="11">
        <v>600</v>
      </c>
      <c r="H61" s="11" t="s">
        <v>35</v>
      </c>
      <c r="I61" s="10" t="s">
        <v>18</v>
      </c>
      <c r="J61" s="32">
        <f t="shared" ref="J61" si="7">E61*G61/1000000</f>
        <v>0.51</v>
      </c>
      <c r="K61" s="11"/>
      <c r="L61" s="2"/>
    </row>
    <row r="62" spans="1:12" s="28" customFormat="1" ht="31.5" customHeight="1">
      <c r="A62" s="11"/>
      <c r="B62" s="48"/>
      <c r="C62" s="57"/>
      <c r="D62" s="11" t="s">
        <v>22</v>
      </c>
      <c r="E62" s="10"/>
      <c r="F62" s="11"/>
      <c r="G62" s="11">
        <v>5</v>
      </c>
      <c r="H62" s="11" t="s">
        <v>23</v>
      </c>
      <c r="I62" s="10" t="s">
        <v>24</v>
      </c>
      <c r="J62" s="32">
        <v>8.5</v>
      </c>
      <c r="K62" s="11"/>
      <c r="L62" s="2"/>
    </row>
    <row r="63" spans="1:12" s="28" customFormat="1" ht="31.5" customHeight="1">
      <c r="A63" s="11"/>
      <c r="B63" s="48"/>
      <c r="C63" s="57"/>
      <c r="D63" s="11" t="s">
        <v>42</v>
      </c>
      <c r="E63" s="10">
        <f>1540+475</f>
        <v>2015</v>
      </c>
      <c r="F63" s="11">
        <v>36</v>
      </c>
      <c r="G63" s="11">
        <v>3000</v>
      </c>
      <c r="H63" s="11" t="s">
        <v>26</v>
      </c>
      <c r="I63" s="10" t="s">
        <v>18</v>
      </c>
      <c r="J63" s="32">
        <v>5.7569999999999997</v>
      </c>
      <c r="K63" s="11"/>
      <c r="L63" s="2"/>
    </row>
    <row r="64" spans="1:12" s="28" customFormat="1" ht="31.5" customHeight="1">
      <c r="A64" s="11"/>
      <c r="B64" s="48"/>
      <c r="C64" s="57"/>
      <c r="D64" s="11" t="s">
        <v>43</v>
      </c>
      <c r="E64" s="10"/>
      <c r="F64" s="11"/>
      <c r="G64" s="11"/>
      <c r="H64" s="11"/>
      <c r="I64" s="10" t="s">
        <v>18</v>
      </c>
      <c r="J64" s="32">
        <v>5.7569999999999997</v>
      </c>
      <c r="K64" s="11"/>
      <c r="L64" s="2"/>
    </row>
    <row r="65" spans="1:12" s="28" customFormat="1" ht="31.5" customHeight="1">
      <c r="A65" s="11"/>
      <c r="B65" s="48"/>
      <c r="C65" s="57"/>
      <c r="D65" s="11" t="s">
        <v>22</v>
      </c>
      <c r="E65" s="10"/>
      <c r="F65" s="11"/>
      <c r="G65" s="11">
        <v>5</v>
      </c>
      <c r="H65" s="11" t="s">
        <v>23</v>
      </c>
      <c r="I65" s="10" t="s">
        <v>24</v>
      </c>
      <c r="J65" s="32">
        <f>15.84+3.08</f>
        <v>18.920000000000002</v>
      </c>
      <c r="K65" s="11"/>
      <c r="L65" s="2"/>
    </row>
    <row r="66" spans="1:12" s="28" customFormat="1" ht="31.5" customHeight="1">
      <c r="A66" s="11"/>
      <c r="B66" s="48"/>
      <c r="C66" s="56" t="s">
        <v>70</v>
      </c>
      <c r="D66" s="11" t="s">
        <v>42</v>
      </c>
      <c r="E66" s="10">
        <v>3020</v>
      </c>
      <c r="F66" s="11">
        <v>36</v>
      </c>
      <c r="G66" s="11">
        <v>3000</v>
      </c>
      <c r="H66" s="11" t="s">
        <v>26</v>
      </c>
      <c r="I66" s="10" t="s">
        <v>18</v>
      </c>
      <c r="J66" s="32">
        <v>5.7569999999999997</v>
      </c>
      <c r="K66" s="11"/>
      <c r="L66" s="2"/>
    </row>
    <row r="67" spans="1:12" s="28" customFormat="1" ht="31.5" customHeight="1">
      <c r="A67" s="11"/>
      <c r="B67" s="48"/>
      <c r="C67" s="57"/>
      <c r="D67" s="11" t="s">
        <v>43</v>
      </c>
      <c r="E67" s="10"/>
      <c r="F67" s="11"/>
      <c r="G67" s="11"/>
      <c r="H67" s="11"/>
      <c r="I67" s="10" t="s">
        <v>18</v>
      </c>
      <c r="J67" s="32">
        <v>5.7569999999999997</v>
      </c>
      <c r="K67" s="11"/>
      <c r="L67" s="2"/>
    </row>
    <row r="68" spans="1:12" s="28" customFormat="1" ht="31.5" customHeight="1">
      <c r="A68" s="11"/>
      <c r="B68" s="48"/>
      <c r="C68" s="57"/>
      <c r="D68" s="11" t="s">
        <v>22</v>
      </c>
      <c r="E68" s="10"/>
      <c r="F68" s="11"/>
      <c r="G68" s="11">
        <v>5</v>
      </c>
      <c r="H68" s="11" t="s">
        <v>23</v>
      </c>
      <c r="I68" s="10" t="s">
        <v>24</v>
      </c>
      <c r="J68" s="32">
        <f>26.5+7.06</f>
        <v>33.56</v>
      </c>
      <c r="K68" s="11"/>
      <c r="L68" s="2"/>
    </row>
    <row r="69" spans="1:12" s="28" customFormat="1" ht="31.5" customHeight="1">
      <c r="A69" s="41" t="s">
        <v>71</v>
      </c>
      <c r="B69" s="42"/>
      <c r="C69" s="10"/>
      <c r="D69" s="11"/>
      <c r="E69" s="10"/>
      <c r="F69" s="11"/>
      <c r="G69" s="11"/>
      <c r="H69" s="11"/>
      <c r="I69" s="10"/>
      <c r="J69" s="32"/>
      <c r="K69" s="11"/>
      <c r="L69" s="2"/>
    </row>
    <row r="70" spans="1:12" s="28" customFormat="1" ht="31.5" customHeight="1">
      <c r="A70" s="11"/>
      <c r="B70" s="47">
        <v>-1E-4</v>
      </c>
      <c r="C70" s="56" t="s">
        <v>15</v>
      </c>
      <c r="D70" s="11" t="s">
        <v>42</v>
      </c>
      <c r="E70" s="10">
        <f>390+450</f>
        <v>840</v>
      </c>
      <c r="F70" s="11">
        <v>36</v>
      </c>
      <c r="G70" s="11">
        <v>3000</v>
      </c>
      <c r="H70" s="11" t="s">
        <v>26</v>
      </c>
      <c r="I70" s="10" t="s">
        <v>18</v>
      </c>
      <c r="J70" s="32">
        <v>5.7569999999999997</v>
      </c>
      <c r="K70" s="11"/>
      <c r="L70" s="2"/>
    </row>
    <row r="71" spans="1:12" s="28" customFormat="1" ht="31.5" customHeight="1">
      <c r="A71" s="11"/>
      <c r="B71" s="48"/>
      <c r="C71" s="57"/>
      <c r="D71" s="11" t="s">
        <v>43</v>
      </c>
      <c r="E71" s="10"/>
      <c r="F71" s="11"/>
      <c r="G71" s="11"/>
      <c r="H71" s="11"/>
      <c r="I71" s="10" t="s">
        <v>18</v>
      </c>
      <c r="J71" s="32">
        <v>5.7569999999999997</v>
      </c>
      <c r="K71" s="11"/>
      <c r="L71" s="2"/>
    </row>
    <row r="72" spans="1:12" s="28" customFormat="1" ht="31.5" customHeight="1">
      <c r="A72" s="11"/>
      <c r="B72" s="48"/>
      <c r="C72" s="57"/>
      <c r="D72" s="11" t="s">
        <v>22</v>
      </c>
      <c r="E72" s="10"/>
      <c r="F72" s="11"/>
      <c r="G72" s="11">
        <v>5</v>
      </c>
      <c r="H72" s="11" t="s">
        <v>23</v>
      </c>
      <c r="I72" s="10" t="s">
        <v>24</v>
      </c>
      <c r="J72" s="32">
        <v>11.54</v>
      </c>
      <c r="K72" s="11"/>
      <c r="L72" s="2"/>
    </row>
    <row r="73" spans="1:12" s="28" customFormat="1" ht="31.5" customHeight="1">
      <c r="A73" s="11"/>
      <c r="B73" s="48"/>
      <c r="C73" s="57"/>
      <c r="D73" s="11" t="s">
        <v>72</v>
      </c>
      <c r="E73" s="10">
        <f>1410+2400+1410+240+240</f>
        <v>5700</v>
      </c>
      <c r="F73" s="11">
        <v>350</v>
      </c>
      <c r="G73" s="11">
        <v>3000</v>
      </c>
      <c r="H73" s="11" t="s">
        <v>20</v>
      </c>
      <c r="I73" s="10" t="s">
        <v>18</v>
      </c>
      <c r="J73" s="32">
        <f t="shared" ref="J73:J125" si="8">E73*G73/1000000</f>
        <v>17.100000000000001</v>
      </c>
      <c r="K73" s="11" t="s">
        <v>73</v>
      </c>
      <c r="L73" s="2"/>
    </row>
    <row r="74" spans="1:12" s="28" customFormat="1" ht="31.5" customHeight="1">
      <c r="A74" s="11"/>
      <c r="B74" s="48"/>
      <c r="C74" s="57"/>
      <c r="D74" s="11" t="s">
        <v>74</v>
      </c>
      <c r="E74" s="10">
        <f>5700-480</f>
        <v>5220</v>
      </c>
      <c r="F74" s="11">
        <v>22</v>
      </c>
      <c r="G74" s="11">
        <v>675</v>
      </c>
      <c r="H74" s="11" t="s">
        <v>26</v>
      </c>
      <c r="I74" s="10" t="s">
        <v>18</v>
      </c>
      <c r="J74" s="32">
        <f t="shared" si="8"/>
        <v>3.5234999999999999</v>
      </c>
      <c r="K74" s="11"/>
      <c r="L74" s="2"/>
    </row>
    <row r="75" spans="1:12" s="28" customFormat="1" ht="31.5" customHeight="1">
      <c r="A75" s="11"/>
      <c r="B75" s="48"/>
      <c r="C75" s="57"/>
      <c r="D75" s="11" t="s">
        <v>22</v>
      </c>
      <c r="E75" s="10"/>
      <c r="F75" s="11"/>
      <c r="G75" s="11">
        <v>5</v>
      </c>
      <c r="H75" s="11" t="s">
        <v>23</v>
      </c>
      <c r="I75" s="10" t="s">
        <v>24</v>
      </c>
      <c r="J75" s="32">
        <v>22.08</v>
      </c>
      <c r="K75" s="11"/>
      <c r="L75" s="2"/>
    </row>
    <row r="76" spans="1:12" s="28" customFormat="1" ht="31.5" customHeight="1">
      <c r="A76" s="11"/>
      <c r="B76" s="48"/>
      <c r="C76" s="58"/>
      <c r="D76" s="11" t="s">
        <v>36</v>
      </c>
      <c r="E76" s="10">
        <v>200</v>
      </c>
      <c r="F76" s="11">
        <v>38</v>
      </c>
      <c r="G76" s="11">
        <v>3000</v>
      </c>
      <c r="H76" s="11" t="s">
        <v>26</v>
      </c>
      <c r="I76" s="10" t="s">
        <v>33</v>
      </c>
      <c r="J76" s="32">
        <v>2</v>
      </c>
      <c r="K76" s="11"/>
      <c r="L76" s="2"/>
    </row>
    <row r="77" spans="1:12" s="28" customFormat="1" ht="31.5" customHeight="1">
      <c r="A77" s="11"/>
      <c r="B77" s="48"/>
      <c r="C77" s="56" t="s">
        <v>47</v>
      </c>
      <c r="D77" s="11" t="s">
        <v>42</v>
      </c>
      <c r="E77" s="10">
        <f>910+455</f>
        <v>1365</v>
      </c>
      <c r="F77" s="11">
        <v>36</v>
      </c>
      <c r="G77" s="11">
        <v>3000</v>
      </c>
      <c r="H77" s="11" t="s">
        <v>26</v>
      </c>
      <c r="I77" s="10" t="s">
        <v>18</v>
      </c>
      <c r="J77" s="32">
        <v>5.7569999999999997</v>
      </c>
      <c r="K77" s="11"/>
      <c r="L77" s="2"/>
    </row>
    <row r="78" spans="1:12" s="28" customFormat="1" ht="31.5" customHeight="1">
      <c r="A78" s="11"/>
      <c r="B78" s="48"/>
      <c r="C78" s="57"/>
      <c r="D78" s="11" t="s">
        <v>43</v>
      </c>
      <c r="E78" s="10"/>
      <c r="F78" s="11"/>
      <c r="G78" s="11"/>
      <c r="H78" s="11"/>
      <c r="I78" s="10" t="s">
        <v>18</v>
      </c>
      <c r="J78" s="32">
        <v>5.7569999999999997</v>
      </c>
      <c r="K78" s="11"/>
      <c r="L78" s="2"/>
    </row>
    <row r="79" spans="1:12" s="28" customFormat="1" ht="31.5" customHeight="1">
      <c r="A79" s="11"/>
      <c r="B79" s="48"/>
      <c r="C79" s="57"/>
      <c r="D79" s="11" t="s">
        <v>22</v>
      </c>
      <c r="E79" s="10"/>
      <c r="F79" s="11"/>
      <c r="G79" s="11">
        <v>5</v>
      </c>
      <c r="H79" s="11" t="s">
        <v>23</v>
      </c>
      <c r="I79" s="10" t="s">
        <v>24</v>
      </c>
      <c r="J79" s="32">
        <f>10.56+3.7</f>
        <v>14.26</v>
      </c>
      <c r="K79" s="11"/>
      <c r="L79" s="2"/>
    </row>
    <row r="80" spans="1:12" s="28" customFormat="1" ht="31.5" customHeight="1">
      <c r="A80" s="11"/>
      <c r="B80" s="48"/>
      <c r="C80" s="57"/>
      <c r="D80" s="11" t="s">
        <v>75</v>
      </c>
      <c r="E80" s="10"/>
      <c r="F80" s="11">
        <v>36</v>
      </c>
      <c r="G80" s="11">
        <v>80</v>
      </c>
      <c r="H80" s="11" t="s">
        <v>39</v>
      </c>
      <c r="I80" s="10" t="s">
        <v>18</v>
      </c>
      <c r="J80" s="32">
        <f>(E81*2+G81*4)/1000</f>
        <v>14.72</v>
      </c>
      <c r="K80" s="11"/>
      <c r="L80" s="2"/>
    </row>
    <row r="81" spans="1:12" s="28" customFormat="1" ht="31.5" customHeight="1">
      <c r="A81" s="11"/>
      <c r="B81" s="48"/>
      <c r="C81" s="57"/>
      <c r="D81" s="11" t="s">
        <v>53</v>
      </c>
      <c r="E81" s="10">
        <f>1200+160</f>
        <v>1360</v>
      </c>
      <c r="F81" s="11">
        <v>240</v>
      </c>
      <c r="G81" s="11">
        <v>3000</v>
      </c>
      <c r="H81" s="11" t="s">
        <v>20</v>
      </c>
      <c r="I81" s="10" t="s">
        <v>18</v>
      </c>
      <c r="J81" s="32">
        <f>(E81+G81*2)*F81/1000000</f>
        <v>1.7664</v>
      </c>
      <c r="K81" s="11"/>
      <c r="L81" s="2"/>
    </row>
    <row r="82" spans="1:12" s="28" customFormat="1" ht="31.5" customHeight="1">
      <c r="A82" s="11"/>
      <c r="B82" s="48"/>
      <c r="C82" s="57"/>
      <c r="D82" s="11" t="s">
        <v>76</v>
      </c>
      <c r="E82" s="10"/>
      <c r="F82" s="11">
        <v>36</v>
      </c>
      <c r="G82" s="11">
        <v>80</v>
      </c>
      <c r="H82" s="11" t="s">
        <v>39</v>
      </c>
      <c r="I82" s="10" t="s">
        <v>18</v>
      </c>
      <c r="J82" s="32">
        <f>(E83*2+G83*4)/1000</f>
        <v>20.64</v>
      </c>
      <c r="K82" s="11"/>
      <c r="L82" s="2"/>
    </row>
    <row r="83" spans="1:12" s="28" customFormat="1" ht="31.5" customHeight="1">
      <c r="A83" s="11"/>
      <c r="B83" s="49"/>
      <c r="C83" s="58"/>
      <c r="D83" s="11" t="s">
        <v>53</v>
      </c>
      <c r="E83" s="10">
        <f>4160+160</f>
        <v>4320</v>
      </c>
      <c r="F83" s="11">
        <v>240</v>
      </c>
      <c r="G83" s="11">
        <v>3000</v>
      </c>
      <c r="H83" s="11" t="s">
        <v>20</v>
      </c>
      <c r="I83" s="10" t="s">
        <v>18</v>
      </c>
      <c r="J83" s="32">
        <f>(E83+G83*2)*F83/1000000</f>
        <v>2.4767999999999999</v>
      </c>
      <c r="K83" s="11"/>
      <c r="L83" s="2"/>
    </row>
    <row r="84" spans="1:12" s="28" customFormat="1" ht="31.5" customHeight="1">
      <c r="A84" s="11"/>
      <c r="B84" s="47">
        <v>-1.0000000000000001E-5</v>
      </c>
      <c r="C84" s="56" t="s">
        <v>54</v>
      </c>
      <c r="D84" s="11" t="s">
        <v>42</v>
      </c>
      <c r="E84" s="10">
        <f>630*2+250*2+160</f>
        <v>1920</v>
      </c>
      <c r="F84" s="11">
        <v>36</v>
      </c>
      <c r="G84" s="11">
        <v>3000</v>
      </c>
      <c r="H84" s="11" t="s">
        <v>77</v>
      </c>
      <c r="I84" s="10" t="s">
        <v>18</v>
      </c>
      <c r="J84" s="32">
        <f t="shared" si="8"/>
        <v>5.76</v>
      </c>
      <c r="K84" s="11"/>
      <c r="L84" s="2"/>
    </row>
    <row r="85" spans="1:12" s="28" customFormat="1" ht="31.5" customHeight="1">
      <c r="A85" s="11"/>
      <c r="B85" s="48"/>
      <c r="C85" s="57"/>
      <c r="D85" s="11" t="s">
        <v>42</v>
      </c>
      <c r="E85" s="10">
        <v>4440</v>
      </c>
      <c r="F85" s="11">
        <v>32</v>
      </c>
      <c r="G85" s="11">
        <v>350</v>
      </c>
      <c r="H85" s="11" t="s">
        <v>77</v>
      </c>
      <c r="I85" s="10" t="s">
        <v>18</v>
      </c>
      <c r="J85" s="32">
        <f t="shared" si="8"/>
        <v>1.554</v>
      </c>
      <c r="K85" s="11"/>
      <c r="L85" s="2"/>
    </row>
    <row r="86" spans="1:12" s="28" customFormat="1" ht="31.5" customHeight="1">
      <c r="A86" s="11"/>
      <c r="B86" s="48"/>
      <c r="C86" s="57"/>
      <c r="D86" s="11" t="s">
        <v>43</v>
      </c>
      <c r="E86" s="10"/>
      <c r="F86" s="11"/>
      <c r="G86" s="11"/>
      <c r="H86" s="11"/>
      <c r="I86" s="10" t="s">
        <v>18</v>
      </c>
      <c r="J86" s="32">
        <f>J85+J84</f>
        <v>7.3140000000000001</v>
      </c>
      <c r="K86" s="11"/>
      <c r="L86" s="2"/>
    </row>
    <row r="87" spans="1:12" s="28" customFormat="1" ht="31.5" customHeight="1">
      <c r="A87" s="11"/>
      <c r="B87" s="48"/>
      <c r="C87" s="58"/>
      <c r="D87" s="11" t="s">
        <v>22</v>
      </c>
      <c r="E87" s="10"/>
      <c r="F87" s="11"/>
      <c r="G87" s="11">
        <v>5</v>
      </c>
      <c r="H87" s="11" t="s">
        <v>23</v>
      </c>
      <c r="I87" s="10" t="s">
        <v>24</v>
      </c>
      <c r="J87" s="32">
        <f>20.8+9.5</f>
        <v>30.3</v>
      </c>
      <c r="K87" s="11"/>
      <c r="L87" s="2"/>
    </row>
    <row r="88" spans="1:12" s="28" customFormat="1" ht="31.5" customHeight="1">
      <c r="A88" s="11"/>
      <c r="B88" s="48"/>
      <c r="C88" s="56" t="s">
        <v>61</v>
      </c>
      <c r="D88" s="11" t="s">
        <v>42</v>
      </c>
      <c r="E88" s="10">
        <f>2010+80</f>
        <v>2090</v>
      </c>
      <c r="F88" s="11">
        <v>36</v>
      </c>
      <c r="G88" s="11">
        <v>3000</v>
      </c>
      <c r="H88" s="11" t="s">
        <v>78</v>
      </c>
      <c r="I88" s="10" t="s">
        <v>18</v>
      </c>
      <c r="J88" s="32">
        <f t="shared" ref="J88" si="9">E88*G88/1000000</f>
        <v>6.27</v>
      </c>
      <c r="K88" s="11"/>
      <c r="L88" s="2"/>
    </row>
    <row r="89" spans="1:12" s="28" customFormat="1" ht="31.5" customHeight="1">
      <c r="A89" s="11"/>
      <c r="B89" s="48"/>
      <c r="C89" s="57"/>
      <c r="D89" s="11" t="s">
        <v>43</v>
      </c>
      <c r="E89" s="10"/>
      <c r="F89" s="11"/>
      <c r="G89" s="11"/>
      <c r="H89" s="11"/>
      <c r="I89" s="10" t="s">
        <v>18</v>
      </c>
      <c r="J89" s="32">
        <f>J88</f>
        <v>6.27</v>
      </c>
      <c r="K89" s="11"/>
      <c r="L89" s="2"/>
    </row>
    <row r="90" spans="1:12" s="28" customFormat="1" ht="31.5" customHeight="1">
      <c r="A90" s="11"/>
      <c r="B90" s="48"/>
      <c r="C90" s="57"/>
      <c r="D90" s="11" t="s">
        <v>22</v>
      </c>
      <c r="E90" s="10"/>
      <c r="F90" s="11"/>
      <c r="G90" s="11">
        <v>5</v>
      </c>
      <c r="H90" s="11" t="s">
        <v>23</v>
      </c>
      <c r="I90" s="10" t="s">
        <v>24</v>
      </c>
      <c r="J90" s="32">
        <v>9.3000000000000007</v>
      </c>
      <c r="K90" s="11"/>
      <c r="L90" s="2"/>
    </row>
    <row r="91" spans="1:12" s="28" customFormat="1" ht="31.5" customHeight="1">
      <c r="A91" s="11"/>
      <c r="B91" s="48"/>
      <c r="C91" s="57"/>
      <c r="D91" s="11" t="s">
        <v>79</v>
      </c>
      <c r="E91" s="10">
        <f>270+270</f>
        <v>540</v>
      </c>
      <c r="F91" s="11">
        <v>36</v>
      </c>
      <c r="G91" s="11">
        <v>3000</v>
      </c>
      <c r="H91" s="11" t="s">
        <v>26</v>
      </c>
      <c r="I91" s="10" t="s">
        <v>18</v>
      </c>
      <c r="J91" s="32">
        <f t="shared" ref="J91" si="10">E91*G91/1000000</f>
        <v>1.62</v>
      </c>
      <c r="K91" s="11"/>
      <c r="L91" s="2"/>
    </row>
    <row r="92" spans="1:12" s="28" customFormat="1" ht="31.5" customHeight="1">
      <c r="A92" s="11"/>
      <c r="B92" s="48"/>
      <c r="C92" s="57"/>
      <c r="D92" s="11" t="s">
        <v>43</v>
      </c>
      <c r="E92" s="10"/>
      <c r="F92" s="11"/>
      <c r="G92" s="11"/>
      <c r="H92" s="11"/>
      <c r="I92" s="10" t="s">
        <v>18</v>
      </c>
      <c r="J92" s="32">
        <f>J91</f>
        <v>1.62</v>
      </c>
      <c r="K92" s="11"/>
      <c r="L92" s="2"/>
    </row>
    <row r="93" spans="1:12" s="28" customFormat="1" ht="31.5" customHeight="1">
      <c r="A93" s="11"/>
      <c r="B93" s="48"/>
      <c r="C93" s="57"/>
      <c r="D93" s="11" t="s">
        <v>22</v>
      </c>
      <c r="E93" s="10"/>
      <c r="F93" s="11"/>
      <c r="G93" s="11">
        <v>5</v>
      </c>
      <c r="H93" s="11" t="s">
        <v>23</v>
      </c>
      <c r="I93" s="10" t="s">
        <v>24</v>
      </c>
      <c r="J93" s="32">
        <v>11</v>
      </c>
      <c r="K93" s="11"/>
      <c r="L93" s="2"/>
    </row>
    <row r="94" spans="1:12" s="28" customFormat="1" ht="31.5" customHeight="1">
      <c r="A94" s="11"/>
      <c r="B94" s="48"/>
      <c r="C94" s="57"/>
      <c r="D94" s="11" t="s">
        <v>80</v>
      </c>
      <c r="E94" s="10"/>
      <c r="F94" s="11">
        <v>36</v>
      </c>
      <c r="G94" s="11">
        <v>80</v>
      </c>
      <c r="H94" s="11" t="s">
        <v>39</v>
      </c>
      <c r="I94" s="10" t="s">
        <v>24</v>
      </c>
      <c r="J94" s="32">
        <v>14</v>
      </c>
      <c r="K94" s="11"/>
      <c r="L94" s="2"/>
    </row>
    <row r="95" spans="1:12" s="28" customFormat="1" ht="31.5" customHeight="1">
      <c r="A95" s="11"/>
      <c r="B95" s="49"/>
      <c r="C95" s="58"/>
      <c r="D95" s="11" t="s">
        <v>22</v>
      </c>
      <c r="E95" s="10"/>
      <c r="F95" s="11"/>
      <c r="G95" s="11">
        <v>5</v>
      </c>
      <c r="H95" s="11" t="s">
        <v>23</v>
      </c>
      <c r="I95" s="10" t="s">
        <v>24</v>
      </c>
      <c r="J95" s="32">
        <v>6</v>
      </c>
      <c r="K95" s="11"/>
      <c r="L95" s="2"/>
    </row>
    <row r="96" spans="1:12" s="28" customFormat="1" ht="31.5" customHeight="1">
      <c r="A96" s="41" t="s">
        <v>81</v>
      </c>
      <c r="B96" s="42"/>
      <c r="C96" s="10"/>
      <c r="D96" s="11"/>
      <c r="E96" s="10"/>
      <c r="F96" s="11"/>
      <c r="G96" s="11"/>
      <c r="H96" s="11"/>
      <c r="I96" s="10"/>
      <c r="J96" s="32"/>
      <c r="K96" s="11"/>
      <c r="L96" s="2"/>
    </row>
    <row r="97" spans="1:12" s="28" customFormat="1" ht="31.5" customHeight="1">
      <c r="A97" s="11"/>
      <c r="B97" s="47">
        <v>-9.9999999999999995E-7</v>
      </c>
      <c r="C97" s="56" t="s">
        <v>15</v>
      </c>
      <c r="D97" s="11" t="s">
        <v>42</v>
      </c>
      <c r="E97" s="10">
        <f>210+400+400+210</f>
        <v>1220</v>
      </c>
      <c r="F97" s="11">
        <v>36</v>
      </c>
      <c r="G97" s="11">
        <v>3000</v>
      </c>
      <c r="H97" s="11" t="s">
        <v>26</v>
      </c>
      <c r="I97" s="10" t="s">
        <v>18</v>
      </c>
      <c r="J97" s="32">
        <f t="shared" ref="J97" si="11">E97*G97/1000000</f>
        <v>3.66</v>
      </c>
      <c r="K97" s="11"/>
      <c r="L97" s="2"/>
    </row>
    <row r="98" spans="1:12" s="28" customFormat="1" ht="31.5" customHeight="1">
      <c r="A98" s="11"/>
      <c r="B98" s="48"/>
      <c r="C98" s="57"/>
      <c r="D98" s="11" t="s">
        <v>43</v>
      </c>
      <c r="E98" s="10"/>
      <c r="F98" s="11"/>
      <c r="G98" s="11"/>
      <c r="H98" s="11"/>
      <c r="I98" s="10" t="s">
        <v>18</v>
      </c>
      <c r="J98" s="32">
        <f>J97</f>
        <v>3.66</v>
      </c>
      <c r="K98" s="11"/>
      <c r="L98" s="2"/>
    </row>
    <row r="99" spans="1:12" s="28" customFormat="1" ht="31.5" customHeight="1">
      <c r="A99" s="11"/>
      <c r="B99" s="48"/>
      <c r="C99" s="57"/>
      <c r="D99" s="11" t="s">
        <v>22</v>
      </c>
      <c r="E99" s="10"/>
      <c r="F99" s="11"/>
      <c r="G99" s="11">
        <v>5</v>
      </c>
      <c r="H99" s="11" t="s">
        <v>23</v>
      </c>
      <c r="I99" s="10" t="s">
        <v>24</v>
      </c>
      <c r="J99" s="32">
        <f>20.8+4</f>
        <v>24.8</v>
      </c>
      <c r="K99" s="11"/>
      <c r="L99" s="2"/>
    </row>
    <row r="100" spans="1:12" s="28" customFormat="1" ht="31.5" customHeight="1">
      <c r="A100" s="11"/>
      <c r="B100" s="48"/>
      <c r="C100" s="57"/>
      <c r="D100" s="11" t="s">
        <v>82</v>
      </c>
      <c r="E100" s="10">
        <f>820*2</f>
        <v>1640</v>
      </c>
      <c r="F100" s="11">
        <v>430</v>
      </c>
      <c r="G100" s="11">
        <v>3000</v>
      </c>
      <c r="H100" s="11" t="s">
        <v>20</v>
      </c>
      <c r="I100" s="10" t="s">
        <v>18</v>
      </c>
      <c r="J100" s="32">
        <f t="shared" si="8"/>
        <v>4.92</v>
      </c>
      <c r="K100" s="11"/>
      <c r="L100" s="2"/>
    </row>
    <row r="101" spans="1:12" s="28" customFormat="1" ht="31.5" customHeight="1">
      <c r="A101" s="11"/>
      <c r="B101" s="48"/>
      <c r="C101" s="57"/>
      <c r="D101" s="11" t="s">
        <v>83</v>
      </c>
      <c r="E101" s="10"/>
      <c r="F101" s="11"/>
      <c r="G101" s="11"/>
      <c r="H101" s="11" t="s">
        <v>20</v>
      </c>
      <c r="I101" s="10" t="s">
        <v>24</v>
      </c>
      <c r="J101" s="32">
        <v>14.76</v>
      </c>
      <c r="K101" s="11"/>
      <c r="L101" s="2"/>
    </row>
    <row r="102" spans="1:12" s="28" customFormat="1" ht="31.5" customHeight="1">
      <c r="A102" s="11"/>
      <c r="B102" s="48"/>
      <c r="C102" s="58"/>
      <c r="D102" s="11" t="s">
        <v>84</v>
      </c>
      <c r="E102" s="10">
        <v>1640</v>
      </c>
      <c r="F102" s="11">
        <v>30</v>
      </c>
      <c r="G102" s="11">
        <v>2600</v>
      </c>
      <c r="H102" s="11" t="s">
        <v>58</v>
      </c>
      <c r="I102" s="10" t="s">
        <v>18</v>
      </c>
      <c r="J102" s="32">
        <f t="shared" si="8"/>
        <v>4.2640000000000002</v>
      </c>
      <c r="K102" s="11"/>
      <c r="L102" s="2"/>
    </row>
    <row r="103" spans="1:12" s="28" customFormat="1" ht="31.5" customHeight="1">
      <c r="A103" s="11"/>
      <c r="B103" s="48"/>
      <c r="C103" s="56" t="s">
        <v>47</v>
      </c>
      <c r="D103" s="11" t="s">
        <v>42</v>
      </c>
      <c r="E103" s="10">
        <v>585</v>
      </c>
      <c r="F103" s="11">
        <v>36</v>
      </c>
      <c r="G103" s="11">
        <v>3000</v>
      </c>
      <c r="H103" s="11" t="s">
        <v>26</v>
      </c>
      <c r="I103" s="10" t="s">
        <v>18</v>
      </c>
      <c r="J103" s="32">
        <f t="shared" si="8"/>
        <v>1.7549999999999999</v>
      </c>
      <c r="K103" s="11"/>
      <c r="L103" s="2"/>
    </row>
    <row r="104" spans="1:12" s="28" customFormat="1" ht="31.5" customHeight="1">
      <c r="A104" s="11"/>
      <c r="B104" s="48"/>
      <c r="C104" s="57"/>
      <c r="D104" s="11" t="s">
        <v>43</v>
      </c>
      <c r="E104" s="10"/>
      <c r="F104" s="11"/>
      <c r="G104" s="11"/>
      <c r="H104" s="11"/>
      <c r="I104" s="10" t="s">
        <v>18</v>
      </c>
      <c r="J104" s="32">
        <f>J103</f>
        <v>1.7549999999999999</v>
      </c>
      <c r="K104" s="11"/>
      <c r="L104" s="2"/>
    </row>
    <row r="105" spans="1:12" s="28" customFormat="1" ht="31.5" customHeight="1">
      <c r="A105" s="11"/>
      <c r="B105" s="48"/>
      <c r="C105" s="57"/>
      <c r="D105" s="11" t="s">
        <v>22</v>
      </c>
      <c r="E105" s="10"/>
      <c r="F105" s="11"/>
      <c r="G105" s="11">
        <v>5</v>
      </c>
      <c r="H105" s="11" t="s">
        <v>23</v>
      </c>
      <c r="I105" s="10" t="s">
        <v>24</v>
      </c>
      <c r="J105" s="32">
        <v>7</v>
      </c>
      <c r="K105" s="11"/>
      <c r="L105" s="2"/>
    </row>
    <row r="106" spans="1:12" s="28" customFormat="1" ht="31.5" customHeight="1">
      <c r="A106" s="11"/>
      <c r="B106" s="48"/>
      <c r="C106" s="57"/>
      <c r="D106" s="11" t="s">
        <v>85</v>
      </c>
      <c r="E106" s="10"/>
      <c r="F106" s="11">
        <v>36</v>
      </c>
      <c r="G106" s="11">
        <v>80</v>
      </c>
      <c r="H106" s="11" t="s">
        <v>39</v>
      </c>
      <c r="I106" s="10" t="s">
        <v>18</v>
      </c>
      <c r="J106" s="32">
        <f>(E107*2+G107*4)/1000</f>
        <v>13.8</v>
      </c>
      <c r="K106" s="11"/>
      <c r="L106" s="2"/>
    </row>
    <row r="107" spans="1:12" s="28" customFormat="1" ht="31.5" customHeight="1">
      <c r="A107" s="11"/>
      <c r="B107" s="48"/>
      <c r="C107" s="57"/>
      <c r="D107" s="11" t="s">
        <v>53</v>
      </c>
      <c r="E107" s="10">
        <v>900</v>
      </c>
      <c r="F107" s="11">
        <v>255</v>
      </c>
      <c r="G107" s="11">
        <v>3000</v>
      </c>
      <c r="H107" s="11" t="s">
        <v>20</v>
      </c>
      <c r="I107" s="10" t="s">
        <v>18</v>
      </c>
      <c r="J107" s="32">
        <f>(E107+G107*2)*F107/1000000</f>
        <v>1.7595000000000001</v>
      </c>
      <c r="K107" s="11"/>
      <c r="L107" s="2"/>
    </row>
    <row r="108" spans="1:12" s="28" customFormat="1" ht="31.5" customHeight="1">
      <c r="A108" s="11"/>
      <c r="B108" s="48"/>
      <c r="C108" s="57"/>
      <c r="D108" s="11" t="s">
        <v>65</v>
      </c>
      <c r="E108" s="10">
        <f>E107-150</f>
        <v>750</v>
      </c>
      <c r="F108" s="11">
        <v>50</v>
      </c>
      <c r="G108" s="11">
        <v>2400</v>
      </c>
      <c r="H108" s="11" t="s">
        <v>35</v>
      </c>
      <c r="I108" s="10" t="s">
        <v>18</v>
      </c>
      <c r="J108" s="32">
        <f t="shared" ref="J108:J110" si="12">E108*G108/1000000</f>
        <v>1.8</v>
      </c>
      <c r="K108" s="11" t="s">
        <v>67</v>
      </c>
      <c r="L108" s="2"/>
    </row>
    <row r="109" spans="1:12" s="28" customFormat="1" ht="31.5" customHeight="1">
      <c r="A109" s="11"/>
      <c r="B109" s="48"/>
      <c r="C109" s="57"/>
      <c r="D109" s="11" t="s">
        <v>22</v>
      </c>
      <c r="E109" s="10"/>
      <c r="F109" s="11"/>
      <c r="G109" s="11">
        <v>5</v>
      </c>
      <c r="H109" s="11" t="s">
        <v>23</v>
      </c>
      <c r="I109" s="10" t="s">
        <v>24</v>
      </c>
      <c r="J109" s="32">
        <v>6.5</v>
      </c>
      <c r="K109" s="11"/>
      <c r="L109" s="2"/>
    </row>
    <row r="110" spans="1:12" s="28" customFormat="1" ht="31.5" customHeight="1">
      <c r="A110" s="11"/>
      <c r="B110" s="48"/>
      <c r="C110" s="57"/>
      <c r="D110" s="11" t="s">
        <v>59</v>
      </c>
      <c r="E110" s="10">
        <v>750</v>
      </c>
      <c r="F110" s="11">
        <v>32</v>
      </c>
      <c r="G110" s="11">
        <v>600</v>
      </c>
      <c r="H110" s="11" t="s">
        <v>35</v>
      </c>
      <c r="I110" s="10" t="s">
        <v>18</v>
      </c>
      <c r="J110" s="32">
        <f t="shared" si="12"/>
        <v>0.45</v>
      </c>
      <c r="K110" s="11"/>
      <c r="L110" s="2"/>
    </row>
    <row r="111" spans="1:12" s="28" customFormat="1" ht="31.5" customHeight="1">
      <c r="A111" s="11"/>
      <c r="B111" s="49"/>
      <c r="C111" s="58"/>
      <c r="D111" s="11" t="s">
        <v>59</v>
      </c>
      <c r="E111" s="10">
        <v>750</v>
      </c>
      <c r="F111" s="11">
        <v>32</v>
      </c>
      <c r="G111" s="11">
        <v>365</v>
      </c>
      <c r="H111" s="11" t="s">
        <v>35</v>
      </c>
      <c r="I111" s="10" t="s">
        <v>18</v>
      </c>
      <c r="J111" s="32">
        <f t="shared" ref="J111" si="13">E111*G111/1000000</f>
        <v>0.27374999999999999</v>
      </c>
      <c r="K111" s="11"/>
      <c r="L111" s="2"/>
    </row>
    <row r="112" spans="1:12" s="28" customFormat="1" ht="31.5" customHeight="1">
      <c r="A112" s="11"/>
      <c r="B112" s="47">
        <v>-9.9999999999999995E-8</v>
      </c>
      <c r="C112" s="59" t="s">
        <v>54</v>
      </c>
      <c r="D112" s="11" t="s">
        <v>86</v>
      </c>
      <c r="E112" s="10"/>
      <c r="F112" s="11">
        <v>36</v>
      </c>
      <c r="G112" s="11">
        <v>80</v>
      </c>
      <c r="H112" s="11" t="s">
        <v>39</v>
      </c>
      <c r="I112" s="10" t="s">
        <v>18</v>
      </c>
      <c r="J112" s="32">
        <f>(E113*2+G113*4)/1000</f>
        <v>14.48</v>
      </c>
      <c r="K112" s="11"/>
      <c r="L112" s="2"/>
    </row>
    <row r="113" spans="1:12" s="28" customFormat="1" ht="31.5" customHeight="1">
      <c r="A113" s="11"/>
      <c r="B113" s="48"/>
      <c r="C113" s="60"/>
      <c r="D113" s="11" t="s">
        <v>53</v>
      </c>
      <c r="E113" s="10">
        <f>1060+180</f>
        <v>1240</v>
      </c>
      <c r="F113" s="11">
        <v>200</v>
      </c>
      <c r="G113" s="11">
        <v>3000</v>
      </c>
      <c r="H113" s="11" t="s">
        <v>20</v>
      </c>
      <c r="I113" s="10" t="s">
        <v>18</v>
      </c>
      <c r="J113" s="32">
        <f>(E113+G113*2)*F113/1000000</f>
        <v>1.448</v>
      </c>
      <c r="K113" s="11"/>
      <c r="L113" s="2"/>
    </row>
    <row r="114" spans="1:12" s="28" customFormat="1" ht="31.5" customHeight="1">
      <c r="A114" s="11"/>
      <c r="B114" s="48"/>
      <c r="C114" s="60"/>
      <c r="D114" s="11" t="s">
        <v>65</v>
      </c>
      <c r="E114" s="10">
        <f>E113-150</f>
        <v>1090</v>
      </c>
      <c r="F114" s="11">
        <v>50</v>
      </c>
      <c r="G114" s="11">
        <v>2910</v>
      </c>
      <c r="H114" s="11" t="s">
        <v>35</v>
      </c>
      <c r="I114" s="10" t="s">
        <v>18</v>
      </c>
      <c r="J114" s="32">
        <f t="shared" ref="J114" si="14">E114*G114/1000000</f>
        <v>3.1718999999999999</v>
      </c>
      <c r="K114" s="11" t="s">
        <v>67</v>
      </c>
      <c r="L114" s="2"/>
    </row>
    <row r="115" spans="1:12" s="28" customFormat="1" ht="31.5" customHeight="1">
      <c r="A115" s="11"/>
      <c r="B115" s="48"/>
      <c r="C115" s="60"/>
      <c r="D115" s="11" t="s">
        <v>22</v>
      </c>
      <c r="E115" s="10"/>
      <c r="F115" s="11"/>
      <c r="G115" s="11">
        <v>5</v>
      </c>
      <c r="H115" s="11" t="s">
        <v>23</v>
      </c>
      <c r="I115" s="10" t="s">
        <v>24</v>
      </c>
      <c r="J115" s="32">
        <v>10</v>
      </c>
      <c r="K115" s="11"/>
      <c r="L115" s="2"/>
    </row>
    <row r="116" spans="1:12" s="28" customFormat="1" ht="31.5" customHeight="1">
      <c r="A116" s="11"/>
      <c r="B116" s="48"/>
      <c r="C116" s="60"/>
      <c r="D116" s="11" t="s">
        <v>87</v>
      </c>
      <c r="E116" s="10">
        <f>730*2</f>
        <v>1460</v>
      </c>
      <c r="F116" s="11">
        <v>600</v>
      </c>
      <c r="G116" s="11">
        <v>3000</v>
      </c>
      <c r="H116" s="11" t="s">
        <v>20</v>
      </c>
      <c r="I116" s="10" t="s">
        <v>18</v>
      </c>
      <c r="J116" s="32">
        <f t="shared" si="8"/>
        <v>4.38</v>
      </c>
      <c r="K116" s="11"/>
      <c r="L116" s="2"/>
    </row>
    <row r="117" spans="1:12" s="28" customFormat="1" ht="31.5" customHeight="1">
      <c r="A117" s="11"/>
      <c r="B117" s="48"/>
      <c r="C117" s="60"/>
      <c r="D117" s="11" t="s">
        <v>88</v>
      </c>
      <c r="E117" s="10">
        <v>640</v>
      </c>
      <c r="F117" s="11">
        <v>32</v>
      </c>
      <c r="G117" s="11">
        <v>3000</v>
      </c>
      <c r="H117" s="11" t="s">
        <v>35</v>
      </c>
      <c r="I117" s="10" t="s">
        <v>18</v>
      </c>
      <c r="J117" s="32">
        <f t="shared" ref="J117" si="15">E117*G117/1000000</f>
        <v>1.92</v>
      </c>
      <c r="K117" s="11"/>
      <c r="L117" s="2"/>
    </row>
    <row r="118" spans="1:12" s="28" customFormat="1" ht="31.5" customHeight="1">
      <c r="A118" s="11"/>
      <c r="B118" s="48"/>
      <c r="C118" s="60"/>
      <c r="D118" s="11" t="s">
        <v>22</v>
      </c>
      <c r="E118" s="10"/>
      <c r="F118" s="11"/>
      <c r="G118" s="11">
        <v>5</v>
      </c>
      <c r="H118" s="11" t="s">
        <v>23</v>
      </c>
      <c r="I118" s="10" t="s">
        <v>24</v>
      </c>
      <c r="J118" s="32">
        <v>6</v>
      </c>
      <c r="K118" s="11"/>
      <c r="L118" s="2"/>
    </row>
    <row r="119" spans="1:12" s="28" customFormat="1" ht="31.5" customHeight="1">
      <c r="A119" s="11"/>
      <c r="B119" s="48"/>
      <c r="C119" s="60"/>
      <c r="D119" s="11" t="s">
        <v>89</v>
      </c>
      <c r="E119" s="10">
        <f>650*2</f>
        <v>1300</v>
      </c>
      <c r="F119" s="11">
        <v>22</v>
      </c>
      <c r="G119" s="11">
        <v>2630</v>
      </c>
      <c r="H119" s="11" t="s">
        <v>35</v>
      </c>
      <c r="I119" s="10" t="s">
        <v>18</v>
      </c>
      <c r="J119" s="32">
        <f t="shared" si="8"/>
        <v>3.419</v>
      </c>
      <c r="K119" s="11"/>
      <c r="L119" s="2"/>
    </row>
    <row r="120" spans="1:12" s="28" customFormat="1" ht="31.5" customHeight="1">
      <c r="A120" s="11"/>
      <c r="B120" s="48"/>
      <c r="C120" s="60"/>
      <c r="D120" s="11" t="s">
        <v>22</v>
      </c>
      <c r="E120" s="10"/>
      <c r="F120" s="11"/>
      <c r="G120" s="11">
        <v>5</v>
      </c>
      <c r="H120" s="11" t="s">
        <v>23</v>
      </c>
      <c r="I120" s="10" t="s">
        <v>24</v>
      </c>
      <c r="J120" s="32">
        <f>7.66+7.68</f>
        <v>15.34</v>
      </c>
      <c r="K120" s="11"/>
      <c r="L120" s="2"/>
    </row>
    <row r="121" spans="1:12" s="28" customFormat="1" ht="31.5" customHeight="1">
      <c r="A121" s="11"/>
      <c r="B121" s="48"/>
      <c r="C121" s="60"/>
      <c r="D121" s="11" t="s">
        <v>90</v>
      </c>
      <c r="E121" s="10">
        <f>770+80+685</f>
        <v>1535</v>
      </c>
      <c r="F121" s="11">
        <v>600</v>
      </c>
      <c r="G121" s="11">
        <v>900</v>
      </c>
      <c r="H121" s="11" t="s">
        <v>20</v>
      </c>
      <c r="I121" s="10" t="s">
        <v>18</v>
      </c>
      <c r="J121" s="32">
        <f t="shared" si="8"/>
        <v>1.3815</v>
      </c>
      <c r="K121" s="11" t="s">
        <v>91</v>
      </c>
      <c r="L121" s="2"/>
    </row>
    <row r="122" spans="1:12" s="28" customFormat="1" ht="31.5" customHeight="1">
      <c r="A122" s="11"/>
      <c r="B122" s="48"/>
      <c r="C122" s="60"/>
      <c r="D122" s="11" t="s">
        <v>89</v>
      </c>
      <c r="E122" s="10">
        <v>770</v>
      </c>
      <c r="F122" s="11">
        <v>22</v>
      </c>
      <c r="G122" s="11">
        <v>700</v>
      </c>
      <c r="H122" s="11" t="s">
        <v>35</v>
      </c>
      <c r="I122" s="10" t="s">
        <v>18</v>
      </c>
      <c r="J122" s="32">
        <f t="shared" si="8"/>
        <v>0.53900000000000003</v>
      </c>
      <c r="K122" s="11"/>
      <c r="L122" s="2"/>
    </row>
    <row r="123" spans="1:12" s="28" customFormat="1" ht="31.5" customHeight="1">
      <c r="A123" s="11"/>
      <c r="B123" s="48"/>
      <c r="C123" s="60"/>
      <c r="D123" s="11" t="s">
        <v>92</v>
      </c>
      <c r="E123" s="10">
        <v>1535</v>
      </c>
      <c r="F123" s="11">
        <v>350</v>
      </c>
      <c r="G123" s="11">
        <v>1100</v>
      </c>
      <c r="H123" s="11" t="s">
        <v>20</v>
      </c>
      <c r="I123" s="10" t="s">
        <v>18</v>
      </c>
      <c r="J123" s="32">
        <f t="shared" si="8"/>
        <v>1.6884999999999999</v>
      </c>
      <c r="K123" s="11"/>
      <c r="L123" s="2"/>
    </row>
    <row r="124" spans="1:12" s="28" customFormat="1" ht="31.5" customHeight="1">
      <c r="A124" s="11"/>
      <c r="B124" s="48"/>
      <c r="C124" s="60"/>
      <c r="D124" s="11" t="s">
        <v>89</v>
      </c>
      <c r="E124" s="10">
        <v>1535</v>
      </c>
      <c r="F124" s="11">
        <v>22</v>
      </c>
      <c r="G124" s="11">
        <v>750</v>
      </c>
      <c r="H124" s="11" t="s">
        <v>35</v>
      </c>
      <c r="I124" s="10" t="s">
        <v>18</v>
      </c>
      <c r="J124" s="32">
        <f t="shared" ref="J124" si="16">E124*G124/1000000</f>
        <v>1.1512500000000001</v>
      </c>
      <c r="K124" s="11"/>
      <c r="L124" s="2"/>
    </row>
    <row r="125" spans="1:12" s="28" customFormat="1" ht="31.5" customHeight="1">
      <c r="A125" s="11"/>
      <c r="B125" s="48"/>
      <c r="C125" s="61"/>
      <c r="D125" s="11" t="s">
        <v>93</v>
      </c>
      <c r="E125" s="10">
        <f>1460+1535</f>
        <v>2995</v>
      </c>
      <c r="F125" s="11">
        <v>32</v>
      </c>
      <c r="G125" s="11">
        <v>350</v>
      </c>
      <c r="H125" s="11" t="s">
        <v>35</v>
      </c>
      <c r="I125" s="10" t="s">
        <v>18</v>
      </c>
      <c r="J125" s="32">
        <f t="shared" si="8"/>
        <v>1.0482499999999999</v>
      </c>
      <c r="K125" s="11"/>
      <c r="L125" s="2"/>
    </row>
    <row r="126" spans="1:12" s="28" customFormat="1" ht="31.5" customHeight="1">
      <c r="A126" s="11"/>
      <c r="B126" s="48"/>
      <c r="C126" s="56" t="s">
        <v>61</v>
      </c>
      <c r="D126" s="11" t="s">
        <v>94</v>
      </c>
      <c r="E126" s="10"/>
      <c r="F126" s="11">
        <v>36</v>
      </c>
      <c r="G126" s="11">
        <v>80</v>
      </c>
      <c r="H126" s="11" t="s">
        <v>39</v>
      </c>
      <c r="I126" s="10" t="s">
        <v>18</v>
      </c>
      <c r="J126" s="32">
        <f>(E127*2+G127*4)/1000</f>
        <v>14.06</v>
      </c>
      <c r="K126" s="11"/>
      <c r="L126" s="2"/>
    </row>
    <row r="127" spans="1:12" s="28" customFormat="1" ht="31.5" customHeight="1">
      <c r="A127" s="11"/>
      <c r="B127" s="48"/>
      <c r="C127" s="57"/>
      <c r="D127" s="11" t="s">
        <v>53</v>
      </c>
      <c r="E127" s="10">
        <v>1030</v>
      </c>
      <c r="F127" s="11">
        <v>190</v>
      </c>
      <c r="G127" s="11">
        <v>3000</v>
      </c>
      <c r="H127" s="11" t="s">
        <v>20</v>
      </c>
      <c r="I127" s="10" t="s">
        <v>18</v>
      </c>
      <c r="J127" s="32">
        <f>(E127+G127*2)*F127/1000000</f>
        <v>1.3357000000000001</v>
      </c>
      <c r="K127" s="11"/>
      <c r="L127" s="2"/>
    </row>
    <row r="128" spans="1:12" s="28" customFormat="1" ht="31.5" customHeight="1">
      <c r="A128" s="11"/>
      <c r="B128" s="48"/>
      <c r="C128" s="57"/>
      <c r="D128" s="11" t="s">
        <v>65</v>
      </c>
      <c r="E128" s="10">
        <f>E127-160</f>
        <v>870</v>
      </c>
      <c r="F128" s="11">
        <v>50</v>
      </c>
      <c r="G128" s="11">
        <v>2400</v>
      </c>
      <c r="H128" s="11" t="s">
        <v>35</v>
      </c>
      <c r="I128" s="10" t="s">
        <v>18</v>
      </c>
      <c r="J128" s="32">
        <f t="shared" ref="J128:J129" si="17">E128*G128/1000000</f>
        <v>2.0880000000000001</v>
      </c>
      <c r="K128" s="11" t="s">
        <v>67</v>
      </c>
      <c r="L128" s="2"/>
    </row>
    <row r="129" spans="1:12" s="28" customFormat="1" ht="31.5" customHeight="1">
      <c r="A129" s="11"/>
      <c r="B129" s="48"/>
      <c r="C129" s="57"/>
      <c r="D129" s="11" t="s">
        <v>59</v>
      </c>
      <c r="E129" s="10">
        <v>870</v>
      </c>
      <c r="F129" s="11">
        <v>32</v>
      </c>
      <c r="G129" s="11">
        <v>600</v>
      </c>
      <c r="H129" s="11" t="s">
        <v>35</v>
      </c>
      <c r="I129" s="10" t="s">
        <v>18</v>
      </c>
      <c r="J129" s="32">
        <f t="shared" si="17"/>
        <v>0.52200000000000002</v>
      </c>
      <c r="K129" s="11"/>
      <c r="L129" s="2"/>
    </row>
    <row r="130" spans="1:12" s="28" customFormat="1" ht="31.5" customHeight="1">
      <c r="A130" s="11"/>
      <c r="B130" s="48"/>
      <c r="C130" s="57"/>
      <c r="D130" s="11" t="s">
        <v>59</v>
      </c>
      <c r="E130" s="10">
        <v>870</v>
      </c>
      <c r="F130" s="11">
        <v>32</v>
      </c>
      <c r="G130" s="11">
        <v>600</v>
      </c>
      <c r="H130" s="11" t="s">
        <v>35</v>
      </c>
      <c r="I130" s="10" t="s">
        <v>18</v>
      </c>
      <c r="J130" s="32">
        <f t="shared" ref="J130" si="18">E130*G130/1000000</f>
        <v>0.52200000000000002</v>
      </c>
      <c r="K130" s="11"/>
      <c r="L130" s="2"/>
    </row>
    <row r="131" spans="1:12" s="28" customFormat="1" ht="31.5" customHeight="1">
      <c r="A131" s="11"/>
      <c r="B131" s="48"/>
      <c r="C131" s="57"/>
      <c r="D131" s="11" t="s">
        <v>22</v>
      </c>
      <c r="E131" s="10"/>
      <c r="F131" s="11"/>
      <c r="G131" s="11">
        <v>5</v>
      </c>
      <c r="H131" s="11" t="s">
        <v>23</v>
      </c>
      <c r="I131" s="10" t="s">
        <v>24</v>
      </c>
      <c r="J131" s="32">
        <v>10</v>
      </c>
      <c r="K131" s="11"/>
      <c r="L131" s="2"/>
    </row>
    <row r="132" spans="1:12" s="28" customFormat="1" ht="31.5" customHeight="1">
      <c r="A132" s="11"/>
      <c r="B132" s="48"/>
      <c r="C132" s="57"/>
      <c r="D132" s="11" t="s">
        <v>42</v>
      </c>
      <c r="E132" s="10">
        <f>1210+670+210</f>
        <v>2090</v>
      </c>
      <c r="F132" s="11">
        <v>36</v>
      </c>
      <c r="G132" s="11">
        <v>3000</v>
      </c>
      <c r="H132" s="11" t="s">
        <v>26</v>
      </c>
      <c r="I132" s="10" t="s">
        <v>18</v>
      </c>
      <c r="J132" s="32">
        <f t="shared" ref="J132" si="19">E132*G132/1000000</f>
        <v>6.27</v>
      </c>
      <c r="K132" s="11"/>
      <c r="L132" s="2"/>
    </row>
    <row r="133" spans="1:12" s="28" customFormat="1" ht="31.5" customHeight="1">
      <c r="A133" s="11"/>
      <c r="B133" s="48"/>
      <c r="C133" s="57"/>
      <c r="D133" s="11" t="s">
        <v>43</v>
      </c>
      <c r="E133" s="10"/>
      <c r="F133" s="11"/>
      <c r="G133" s="11"/>
      <c r="H133" s="11"/>
      <c r="I133" s="10" t="s">
        <v>18</v>
      </c>
      <c r="J133" s="32">
        <f>J132</f>
        <v>6.27</v>
      </c>
      <c r="K133" s="11"/>
      <c r="L133" s="2"/>
    </row>
    <row r="134" spans="1:12" s="28" customFormat="1" ht="31.5" customHeight="1">
      <c r="A134" s="11"/>
      <c r="B134" s="48"/>
      <c r="C134" s="57"/>
      <c r="D134" s="11" t="s">
        <v>22</v>
      </c>
      <c r="E134" s="10"/>
      <c r="F134" s="11"/>
      <c r="G134" s="11">
        <v>5</v>
      </c>
      <c r="H134" s="11" t="s">
        <v>23</v>
      </c>
      <c r="I134" s="10" t="s">
        <v>24</v>
      </c>
      <c r="J134" s="32">
        <f>18.2+6</f>
        <v>24.2</v>
      </c>
      <c r="K134" s="11"/>
      <c r="L134" s="2"/>
    </row>
    <row r="135" spans="1:12" s="28" customFormat="1" ht="31.5" customHeight="1">
      <c r="A135" s="11"/>
      <c r="B135" s="48"/>
      <c r="C135" s="57"/>
      <c r="D135" s="11" t="s">
        <v>95</v>
      </c>
      <c r="E135" s="10"/>
      <c r="F135" s="11">
        <v>36</v>
      </c>
      <c r="G135" s="11">
        <v>80</v>
      </c>
      <c r="H135" s="11" t="s">
        <v>39</v>
      </c>
      <c r="I135" s="10" t="s">
        <v>18</v>
      </c>
      <c r="J135" s="32">
        <f>(E136+G136*2)/1000</f>
        <v>7.23</v>
      </c>
      <c r="K135" s="11"/>
      <c r="L135" s="2"/>
    </row>
    <row r="136" spans="1:12" s="28" customFormat="1" ht="31.5" customHeight="1">
      <c r="A136" s="11"/>
      <c r="B136" s="48"/>
      <c r="C136" s="57"/>
      <c r="D136" s="11" t="s">
        <v>53</v>
      </c>
      <c r="E136" s="10">
        <f>1070+160</f>
        <v>1230</v>
      </c>
      <c r="F136" s="11">
        <v>150</v>
      </c>
      <c r="G136" s="11">
        <v>3000</v>
      </c>
      <c r="H136" s="11" t="s">
        <v>20</v>
      </c>
      <c r="I136" s="10" t="s">
        <v>18</v>
      </c>
      <c r="J136" s="32">
        <f>(E136+G136*2)*F136/1000000</f>
        <v>1.0845</v>
      </c>
      <c r="K136" s="11"/>
      <c r="L136" s="2"/>
    </row>
    <row r="137" spans="1:12" s="28" customFormat="1" ht="31.5" customHeight="1">
      <c r="A137" s="11"/>
      <c r="B137" s="48"/>
      <c r="C137" s="57"/>
      <c r="D137" s="11" t="s">
        <v>96</v>
      </c>
      <c r="E137" s="10"/>
      <c r="F137" s="11">
        <v>36</v>
      </c>
      <c r="G137" s="11">
        <v>80</v>
      </c>
      <c r="H137" s="11" t="s">
        <v>39</v>
      </c>
      <c r="I137" s="10" t="s">
        <v>18</v>
      </c>
      <c r="J137" s="32">
        <f>(E138+G138*2)/1000</f>
        <v>7.2249999999999996</v>
      </c>
      <c r="K137" s="11"/>
      <c r="L137" s="2"/>
    </row>
    <row r="138" spans="1:12" s="28" customFormat="1" ht="31.5" customHeight="1">
      <c r="A138" s="11"/>
      <c r="B138" s="49"/>
      <c r="C138" s="58"/>
      <c r="D138" s="11" t="s">
        <v>97</v>
      </c>
      <c r="E138" s="10">
        <f>1065+160</f>
        <v>1225</v>
      </c>
      <c r="F138" s="11">
        <v>150</v>
      </c>
      <c r="G138" s="11">
        <v>3000</v>
      </c>
      <c r="H138" s="11" t="s">
        <v>20</v>
      </c>
      <c r="I138" s="10" t="s">
        <v>18</v>
      </c>
      <c r="J138" s="32">
        <f>(E138+G138*2)*F138/1000000</f>
        <v>1.08375</v>
      </c>
      <c r="K138" s="11"/>
      <c r="L138" s="2"/>
    </row>
    <row r="139" spans="1:12" s="28" customFormat="1" ht="31.5" customHeight="1">
      <c r="A139" s="41" t="s">
        <v>98</v>
      </c>
      <c r="B139" s="42"/>
      <c r="C139" s="10"/>
      <c r="D139" s="11"/>
      <c r="E139" s="10"/>
      <c r="F139" s="11"/>
      <c r="G139" s="11"/>
      <c r="H139" s="11"/>
      <c r="I139" s="10"/>
      <c r="J139" s="32"/>
      <c r="K139" s="11"/>
      <c r="L139" s="2"/>
    </row>
    <row r="140" spans="1:12" s="28" customFormat="1" ht="31.5" customHeight="1">
      <c r="A140" s="11"/>
      <c r="B140" s="47">
        <v>-1E-8</v>
      </c>
      <c r="C140" s="56" t="s">
        <v>15</v>
      </c>
      <c r="D140" s="11" t="s">
        <v>99</v>
      </c>
      <c r="E140" s="10">
        <v>2795</v>
      </c>
      <c r="F140" s="11">
        <v>350</v>
      </c>
      <c r="G140" s="11">
        <v>1300</v>
      </c>
      <c r="H140" s="11" t="s">
        <v>20</v>
      </c>
      <c r="I140" s="10" t="s">
        <v>18</v>
      </c>
      <c r="J140" s="32">
        <f t="shared" ref="J140:J177" si="20">E140*G140/1000000</f>
        <v>3.6335000000000002</v>
      </c>
      <c r="K140" s="11" t="s">
        <v>21</v>
      </c>
      <c r="L140" s="2"/>
    </row>
    <row r="141" spans="1:12" s="28" customFormat="1" ht="31.5" customHeight="1">
      <c r="A141" s="11"/>
      <c r="B141" s="48"/>
      <c r="C141" s="57"/>
      <c r="D141" s="11" t="s">
        <v>89</v>
      </c>
      <c r="E141" s="10">
        <f>E140-860</f>
        <v>1935</v>
      </c>
      <c r="F141" s="11">
        <v>22</v>
      </c>
      <c r="G141" s="11">
        <v>1000</v>
      </c>
      <c r="H141" s="11" t="s">
        <v>26</v>
      </c>
      <c r="I141" s="10" t="s">
        <v>18</v>
      </c>
      <c r="J141" s="32">
        <f t="shared" si="20"/>
        <v>1.9350000000000001</v>
      </c>
      <c r="K141" s="11"/>
      <c r="L141" s="2"/>
    </row>
    <row r="142" spans="1:12" s="28" customFormat="1" ht="31.5" customHeight="1">
      <c r="A142" s="11"/>
      <c r="B142" s="48"/>
      <c r="C142" s="57"/>
      <c r="D142" s="11" t="s">
        <v>100</v>
      </c>
      <c r="E142" s="10">
        <v>2795</v>
      </c>
      <c r="F142" s="11">
        <v>32</v>
      </c>
      <c r="G142" s="11">
        <v>300</v>
      </c>
      <c r="H142" s="11" t="s">
        <v>26</v>
      </c>
      <c r="I142" s="10" t="s">
        <v>18</v>
      </c>
      <c r="J142" s="32">
        <f t="shared" si="20"/>
        <v>0.83850000000000002</v>
      </c>
      <c r="K142" s="11"/>
      <c r="L142" s="2"/>
    </row>
    <row r="143" spans="1:12" s="28" customFormat="1" ht="31.5" customHeight="1">
      <c r="A143" s="11"/>
      <c r="B143" s="48"/>
      <c r="C143" s="57"/>
      <c r="D143" s="11" t="s">
        <v>22</v>
      </c>
      <c r="E143" s="10"/>
      <c r="F143" s="11"/>
      <c r="G143" s="11">
        <v>5</v>
      </c>
      <c r="H143" s="11" t="s">
        <v>23</v>
      </c>
      <c r="I143" s="10" t="s">
        <v>24</v>
      </c>
      <c r="J143" s="32">
        <v>5.4</v>
      </c>
      <c r="K143" s="11"/>
      <c r="L143" s="2"/>
    </row>
    <row r="144" spans="1:12" s="28" customFormat="1" ht="31.5" customHeight="1">
      <c r="A144" s="11"/>
      <c r="B144" s="48"/>
      <c r="C144" s="57"/>
      <c r="D144" s="11" t="s">
        <v>101</v>
      </c>
      <c r="E144" s="10">
        <v>2055</v>
      </c>
      <c r="F144" s="11">
        <v>600</v>
      </c>
      <c r="G144" s="11">
        <v>900</v>
      </c>
      <c r="H144" s="11" t="s">
        <v>20</v>
      </c>
      <c r="I144" s="10" t="s">
        <v>18</v>
      </c>
      <c r="J144" s="32">
        <f t="shared" ref="J144:J148" si="21">E144*G144/1000000</f>
        <v>1.8494999999999999</v>
      </c>
      <c r="K144" s="11" t="s">
        <v>91</v>
      </c>
      <c r="L144" s="2"/>
    </row>
    <row r="145" spans="1:12" s="28" customFormat="1" ht="31.5" customHeight="1">
      <c r="A145" s="11"/>
      <c r="B145" s="48"/>
      <c r="C145" s="58"/>
      <c r="D145" s="11" t="s">
        <v>89</v>
      </c>
      <c r="E145" s="10">
        <f>685*2</f>
        <v>1370</v>
      </c>
      <c r="F145" s="11">
        <v>22</v>
      </c>
      <c r="G145" s="11">
        <v>650</v>
      </c>
      <c r="H145" s="11" t="s">
        <v>35</v>
      </c>
      <c r="I145" s="10" t="s">
        <v>18</v>
      </c>
      <c r="J145" s="32">
        <f t="shared" si="21"/>
        <v>0.89049999999999996</v>
      </c>
      <c r="K145" s="11"/>
      <c r="L145" s="2"/>
    </row>
    <row r="146" spans="1:12" s="28" customFormat="1" ht="31.5" customHeight="1">
      <c r="A146" s="11"/>
      <c r="B146" s="48"/>
      <c r="C146" s="56" t="s">
        <v>47</v>
      </c>
      <c r="D146" s="11" t="s">
        <v>99</v>
      </c>
      <c r="E146" s="10">
        <v>1080</v>
      </c>
      <c r="F146" s="11">
        <v>350</v>
      </c>
      <c r="G146" s="11">
        <v>1300</v>
      </c>
      <c r="H146" s="11" t="s">
        <v>20</v>
      </c>
      <c r="I146" s="10" t="s">
        <v>18</v>
      </c>
      <c r="J146" s="32">
        <f t="shared" si="21"/>
        <v>1.4039999999999999</v>
      </c>
      <c r="K146" s="11" t="s">
        <v>21</v>
      </c>
      <c r="L146" s="2"/>
    </row>
    <row r="147" spans="1:12" s="28" customFormat="1" ht="31.5" customHeight="1">
      <c r="A147" s="11"/>
      <c r="B147" s="48"/>
      <c r="C147" s="57"/>
      <c r="D147" s="11" t="s">
        <v>89</v>
      </c>
      <c r="E147" s="10">
        <v>1020</v>
      </c>
      <c r="F147" s="11">
        <v>22</v>
      </c>
      <c r="G147" s="11">
        <v>1000</v>
      </c>
      <c r="H147" s="11" t="s">
        <v>26</v>
      </c>
      <c r="I147" s="10" t="s">
        <v>18</v>
      </c>
      <c r="J147" s="32">
        <f t="shared" si="21"/>
        <v>1.02</v>
      </c>
      <c r="K147" s="11"/>
      <c r="L147" s="2"/>
    </row>
    <row r="148" spans="1:12" s="28" customFormat="1" ht="31.5" customHeight="1">
      <c r="A148" s="11"/>
      <c r="B148" s="48"/>
      <c r="C148" s="57"/>
      <c r="D148" s="11" t="s">
        <v>100</v>
      </c>
      <c r="E148" s="10">
        <v>1080</v>
      </c>
      <c r="F148" s="11">
        <v>32</v>
      </c>
      <c r="G148" s="11">
        <v>300</v>
      </c>
      <c r="H148" s="11" t="s">
        <v>26</v>
      </c>
      <c r="I148" s="10" t="s">
        <v>18</v>
      </c>
      <c r="J148" s="32">
        <f t="shared" si="21"/>
        <v>0.32400000000000001</v>
      </c>
      <c r="K148" s="11"/>
      <c r="L148" s="2"/>
    </row>
    <row r="149" spans="1:12" s="28" customFormat="1" ht="31.5" customHeight="1">
      <c r="A149" s="11"/>
      <c r="B149" s="48"/>
      <c r="C149" s="57"/>
      <c r="D149" s="11" t="s">
        <v>101</v>
      </c>
      <c r="E149" s="10">
        <v>830</v>
      </c>
      <c r="F149" s="11">
        <v>600</v>
      </c>
      <c r="G149" s="11">
        <v>900</v>
      </c>
      <c r="H149" s="11" t="s">
        <v>20</v>
      </c>
      <c r="I149" s="10" t="s">
        <v>18</v>
      </c>
      <c r="J149" s="32">
        <f t="shared" ref="J149:J150" si="22">E149*G149/1000000</f>
        <v>0.747</v>
      </c>
      <c r="K149" s="11" t="s">
        <v>102</v>
      </c>
      <c r="L149" s="2"/>
    </row>
    <row r="150" spans="1:12" s="28" customFormat="1" ht="31.5" customHeight="1">
      <c r="A150" s="11"/>
      <c r="B150" s="48"/>
      <c r="C150" s="57"/>
      <c r="D150" s="11" t="s">
        <v>89</v>
      </c>
      <c r="E150" s="10">
        <v>770</v>
      </c>
      <c r="F150" s="11">
        <v>22</v>
      </c>
      <c r="G150" s="11">
        <v>650</v>
      </c>
      <c r="H150" s="11" t="s">
        <v>35</v>
      </c>
      <c r="I150" s="10" t="s">
        <v>18</v>
      </c>
      <c r="J150" s="32">
        <f t="shared" si="22"/>
        <v>0.50049999999999994</v>
      </c>
      <c r="K150" s="11"/>
      <c r="L150" s="2"/>
    </row>
    <row r="151" spans="1:12" s="28" customFormat="1" ht="31.5" customHeight="1">
      <c r="A151" s="11"/>
      <c r="B151" s="48"/>
      <c r="C151" s="57"/>
      <c r="D151" s="11" t="s">
        <v>103</v>
      </c>
      <c r="E151" s="10">
        <f>545*2+370</f>
        <v>1460</v>
      </c>
      <c r="F151" s="11">
        <v>600</v>
      </c>
      <c r="G151" s="11">
        <v>3000</v>
      </c>
      <c r="H151" s="11" t="s">
        <v>20</v>
      </c>
      <c r="I151" s="10" t="s">
        <v>18</v>
      </c>
      <c r="J151" s="32">
        <f t="shared" si="20"/>
        <v>4.38</v>
      </c>
      <c r="K151" s="11"/>
      <c r="L151" s="2"/>
    </row>
    <row r="152" spans="1:12" s="28" customFormat="1" ht="31.5" customHeight="1">
      <c r="A152" s="11"/>
      <c r="B152" s="48"/>
      <c r="C152" s="57"/>
      <c r="D152" s="11" t="s">
        <v>89</v>
      </c>
      <c r="E152" s="10">
        <v>1460</v>
      </c>
      <c r="F152" s="11">
        <v>22</v>
      </c>
      <c r="G152" s="11">
        <v>2600</v>
      </c>
      <c r="H152" s="11" t="s">
        <v>35</v>
      </c>
      <c r="I152" s="10" t="s">
        <v>18</v>
      </c>
      <c r="J152" s="32">
        <f t="shared" si="20"/>
        <v>3.7959999999999998</v>
      </c>
      <c r="K152" s="11"/>
      <c r="L152" s="2"/>
    </row>
    <row r="153" spans="1:12" s="28" customFormat="1" ht="31.5" customHeight="1">
      <c r="A153" s="11"/>
      <c r="B153" s="48"/>
      <c r="C153" s="57"/>
      <c r="D153" s="11" t="s">
        <v>100</v>
      </c>
      <c r="E153" s="10">
        <v>1460</v>
      </c>
      <c r="F153" s="11">
        <v>32</v>
      </c>
      <c r="G153" s="11">
        <v>300</v>
      </c>
      <c r="H153" s="11" t="s">
        <v>26</v>
      </c>
      <c r="I153" s="10" t="s">
        <v>18</v>
      </c>
      <c r="J153" s="32">
        <f t="shared" si="20"/>
        <v>0.438</v>
      </c>
      <c r="K153" s="11"/>
      <c r="L153" s="2"/>
    </row>
    <row r="154" spans="1:12" s="28" customFormat="1" ht="31.5" customHeight="1">
      <c r="A154" s="11"/>
      <c r="B154" s="48"/>
      <c r="C154" s="58"/>
      <c r="D154" s="11" t="s">
        <v>22</v>
      </c>
      <c r="E154" s="10"/>
      <c r="F154" s="11"/>
      <c r="G154" s="11">
        <v>5</v>
      </c>
      <c r="H154" s="11" t="s">
        <v>23</v>
      </c>
      <c r="I154" s="10" t="s">
        <v>24</v>
      </c>
      <c r="J154" s="32">
        <v>2.8</v>
      </c>
      <c r="K154" s="11"/>
      <c r="L154" s="2"/>
    </row>
    <row r="155" spans="1:12" s="28" customFormat="1" ht="31.5" customHeight="1">
      <c r="A155" s="11"/>
      <c r="B155" s="48"/>
      <c r="C155" s="56" t="s">
        <v>61</v>
      </c>
      <c r="D155" s="11" t="s">
        <v>103</v>
      </c>
      <c r="E155" s="10">
        <v>370</v>
      </c>
      <c r="F155" s="11">
        <v>600</v>
      </c>
      <c r="G155" s="11">
        <v>3000</v>
      </c>
      <c r="H155" s="11" t="s">
        <v>20</v>
      </c>
      <c r="I155" s="10" t="s">
        <v>18</v>
      </c>
      <c r="J155" s="32">
        <f t="shared" ref="J155:J161" si="23">E155*G155/1000000</f>
        <v>1.1100000000000001</v>
      </c>
      <c r="K155" s="11"/>
      <c r="L155" s="2"/>
    </row>
    <row r="156" spans="1:12" s="28" customFormat="1" ht="31.5" customHeight="1">
      <c r="A156" s="11"/>
      <c r="B156" s="48"/>
      <c r="C156" s="57"/>
      <c r="D156" s="11" t="s">
        <v>89</v>
      </c>
      <c r="E156" s="10">
        <v>370</v>
      </c>
      <c r="F156" s="11">
        <v>22</v>
      </c>
      <c r="G156" s="11">
        <v>2600</v>
      </c>
      <c r="H156" s="11" t="s">
        <v>35</v>
      </c>
      <c r="I156" s="10" t="s">
        <v>18</v>
      </c>
      <c r="J156" s="32">
        <f t="shared" si="23"/>
        <v>0.96199999999999997</v>
      </c>
      <c r="K156" s="11"/>
      <c r="L156" s="2"/>
    </row>
    <row r="157" spans="1:12" s="28" customFormat="1" ht="31.5" customHeight="1">
      <c r="A157" s="11"/>
      <c r="B157" s="48"/>
      <c r="C157" s="57"/>
      <c r="D157" s="11" t="s">
        <v>101</v>
      </c>
      <c r="E157" s="10">
        <v>830</v>
      </c>
      <c r="F157" s="11">
        <v>600</v>
      </c>
      <c r="G157" s="11">
        <v>900</v>
      </c>
      <c r="H157" s="11" t="s">
        <v>20</v>
      </c>
      <c r="I157" s="10" t="s">
        <v>18</v>
      </c>
      <c r="J157" s="32">
        <f t="shared" si="23"/>
        <v>0.747</v>
      </c>
      <c r="K157" s="11" t="s">
        <v>102</v>
      </c>
      <c r="L157" s="2"/>
    </row>
    <row r="158" spans="1:12" s="28" customFormat="1" ht="31.5" customHeight="1">
      <c r="A158" s="11"/>
      <c r="B158" s="48"/>
      <c r="C158" s="57"/>
      <c r="D158" s="11" t="s">
        <v>89</v>
      </c>
      <c r="E158" s="10">
        <v>770</v>
      </c>
      <c r="F158" s="11">
        <v>22</v>
      </c>
      <c r="G158" s="11">
        <v>650</v>
      </c>
      <c r="H158" s="11" t="s">
        <v>35</v>
      </c>
      <c r="I158" s="10" t="s">
        <v>18</v>
      </c>
      <c r="J158" s="32">
        <f t="shared" si="23"/>
        <v>0.50049999999999994</v>
      </c>
      <c r="K158" s="11"/>
      <c r="L158" s="2"/>
    </row>
    <row r="159" spans="1:12" s="28" customFormat="1" ht="31.5" customHeight="1">
      <c r="A159" s="11"/>
      <c r="B159" s="48"/>
      <c r="C159" s="57"/>
      <c r="D159" s="11" t="s">
        <v>99</v>
      </c>
      <c r="E159" s="10">
        <v>1075</v>
      </c>
      <c r="F159" s="11">
        <v>350</v>
      </c>
      <c r="G159" s="11">
        <v>1300</v>
      </c>
      <c r="H159" s="11" t="s">
        <v>20</v>
      </c>
      <c r="I159" s="10" t="s">
        <v>18</v>
      </c>
      <c r="J159" s="32">
        <f t="shared" si="23"/>
        <v>1.3975</v>
      </c>
      <c r="K159" s="11"/>
      <c r="L159" s="2"/>
    </row>
    <row r="160" spans="1:12" s="28" customFormat="1" ht="31.5" customHeight="1">
      <c r="A160" s="11"/>
      <c r="B160" s="48"/>
      <c r="C160" s="57"/>
      <c r="D160" s="11" t="s">
        <v>89</v>
      </c>
      <c r="E160" s="10">
        <v>1015</v>
      </c>
      <c r="F160" s="11">
        <v>22</v>
      </c>
      <c r="G160" s="11">
        <v>1000</v>
      </c>
      <c r="H160" s="11" t="s">
        <v>26</v>
      </c>
      <c r="I160" s="10" t="s">
        <v>18</v>
      </c>
      <c r="J160" s="32">
        <f t="shared" si="23"/>
        <v>1.0149999999999999</v>
      </c>
      <c r="K160" s="11"/>
      <c r="L160" s="2"/>
    </row>
    <row r="161" spans="1:12" s="28" customFormat="1" ht="31.5" customHeight="1">
      <c r="A161" s="11"/>
      <c r="B161" s="48"/>
      <c r="C161" s="57"/>
      <c r="D161" s="11" t="s">
        <v>100</v>
      </c>
      <c r="E161" s="10">
        <f>1015+370</f>
        <v>1385</v>
      </c>
      <c r="F161" s="11">
        <v>32</v>
      </c>
      <c r="G161" s="11">
        <v>300</v>
      </c>
      <c r="H161" s="11" t="s">
        <v>26</v>
      </c>
      <c r="I161" s="10" t="s">
        <v>18</v>
      </c>
      <c r="J161" s="32">
        <f t="shared" si="23"/>
        <v>0.41549999999999998</v>
      </c>
      <c r="K161" s="11"/>
      <c r="L161" s="2"/>
    </row>
    <row r="162" spans="1:12" s="28" customFormat="1" ht="31.5" customHeight="1">
      <c r="A162" s="11"/>
      <c r="B162" s="49"/>
      <c r="C162" s="58"/>
      <c r="D162" s="11" t="s">
        <v>104</v>
      </c>
      <c r="E162" s="10">
        <f>275*6</f>
        <v>1650</v>
      </c>
      <c r="F162" s="11"/>
      <c r="G162" s="11">
        <v>430</v>
      </c>
      <c r="H162" s="11" t="s">
        <v>23</v>
      </c>
      <c r="I162" s="10" t="s">
        <v>24</v>
      </c>
      <c r="J162" s="32">
        <v>2.64</v>
      </c>
      <c r="K162" s="11"/>
      <c r="L162" s="2"/>
    </row>
    <row r="163" spans="1:12" s="28" customFormat="1" ht="31.5" customHeight="1">
      <c r="A163" s="41" t="s">
        <v>105</v>
      </c>
      <c r="B163" s="42"/>
      <c r="C163" s="10"/>
      <c r="D163" s="11"/>
      <c r="E163" s="10"/>
      <c r="F163" s="11"/>
      <c r="G163" s="11"/>
      <c r="H163" s="11"/>
      <c r="I163" s="10"/>
      <c r="J163" s="32"/>
      <c r="K163" s="11"/>
      <c r="L163" s="2"/>
    </row>
    <row r="164" spans="1:12" s="28" customFormat="1" ht="31.5" customHeight="1">
      <c r="A164" s="11"/>
      <c r="B164" s="47">
        <v>-1.0000000000000001E-9</v>
      </c>
      <c r="C164" s="56" t="s">
        <v>15</v>
      </c>
      <c r="D164" s="11" t="s">
        <v>106</v>
      </c>
      <c r="E164" s="10">
        <f>4550-900*2</f>
        <v>2750</v>
      </c>
      <c r="F164" s="11">
        <v>15</v>
      </c>
      <c r="G164" s="11">
        <v>3000</v>
      </c>
      <c r="H164" s="11" t="s">
        <v>107</v>
      </c>
      <c r="I164" s="10" t="s">
        <v>18</v>
      </c>
      <c r="J164" s="32">
        <f t="shared" si="20"/>
        <v>8.25</v>
      </c>
      <c r="K164" s="11" t="s">
        <v>102</v>
      </c>
      <c r="L164" s="2"/>
    </row>
    <row r="165" spans="1:12" s="28" customFormat="1" ht="31.5" customHeight="1">
      <c r="A165" s="11"/>
      <c r="B165" s="48"/>
      <c r="C165" s="57"/>
      <c r="D165" s="11" t="s">
        <v>43</v>
      </c>
      <c r="E165" s="10"/>
      <c r="F165" s="11"/>
      <c r="G165" s="11"/>
      <c r="H165" s="11"/>
      <c r="I165" s="10" t="s">
        <v>18</v>
      </c>
      <c r="J165" s="32">
        <f>J164</f>
        <v>8.25</v>
      </c>
      <c r="K165" s="11"/>
      <c r="L165" s="2"/>
    </row>
    <row r="166" spans="1:12" s="28" customFormat="1" ht="31.5" customHeight="1">
      <c r="A166" s="11"/>
      <c r="B166" s="48"/>
      <c r="C166" s="57"/>
      <c r="D166" s="11" t="s">
        <v>108</v>
      </c>
      <c r="E166" s="10">
        <v>1800</v>
      </c>
      <c r="F166" s="11">
        <v>36</v>
      </c>
      <c r="G166" s="11">
        <v>960</v>
      </c>
      <c r="H166" s="11" t="s">
        <v>26</v>
      </c>
      <c r="I166" s="10" t="s">
        <v>18</v>
      </c>
      <c r="J166" s="32">
        <f t="shared" ref="J166" si="24">E166*G166/1000000</f>
        <v>1.728</v>
      </c>
      <c r="K166" s="11" t="s">
        <v>102</v>
      </c>
      <c r="L166" s="2"/>
    </row>
    <row r="167" spans="1:12" s="28" customFormat="1" ht="31.5" customHeight="1">
      <c r="A167" s="11"/>
      <c r="B167" s="48"/>
      <c r="C167" s="57"/>
      <c r="D167" s="11" t="s">
        <v>43</v>
      </c>
      <c r="E167" s="10"/>
      <c r="F167" s="11"/>
      <c r="G167" s="11"/>
      <c r="H167" s="11"/>
      <c r="I167" s="10" t="s">
        <v>18</v>
      </c>
      <c r="J167" s="32">
        <f>J166</f>
        <v>1.728</v>
      </c>
      <c r="K167" s="11"/>
      <c r="L167" s="2"/>
    </row>
    <row r="168" spans="1:12" s="28" customFormat="1" ht="31.5" customHeight="1">
      <c r="A168" s="11"/>
      <c r="B168" s="48"/>
      <c r="C168" s="57"/>
      <c r="D168" s="11" t="s">
        <v>109</v>
      </c>
      <c r="E168" s="10">
        <v>1800</v>
      </c>
      <c r="F168" s="11">
        <v>36</v>
      </c>
      <c r="G168" s="11">
        <v>2040</v>
      </c>
      <c r="H168" s="11" t="s">
        <v>110</v>
      </c>
      <c r="I168" s="10" t="s">
        <v>18</v>
      </c>
      <c r="J168" s="32">
        <f t="shared" ref="J168" si="25">E168*G168/1000000</f>
        <v>3.6720000000000002</v>
      </c>
      <c r="K168" s="11" t="s">
        <v>102</v>
      </c>
      <c r="L168" s="2"/>
    </row>
    <row r="169" spans="1:12" s="28" customFormat="1" ht="31.5" customHeight="1">
      <c r="A169" s="11"/>
      <c r="B169" s="48"/>
      <c r="C169" s="57"/>
      <c r="D169" s="11" t="s">
        <v>43</v>
      </c>
      <c r="E169" s="10"/>
      <c r="F169" s="11"/>
      <c r="G169" s="11"/>
      <c r="H169" s="11"/>
      <c r="I169" s="10" t="s">
        <v>18</v>
      </c>
      <c r="J169" s="32">
        <f>J168</f>
        <v>3.6720000000000002</v>
      </c>
      <c r="K169" s="11"/>
      <c r="L169" s="2"/>
    </row>
    <row r="170" spans="1:12" s="28" customFormat="1" ht="31.5" customHeight="1">
      <c r="A170" s="11"/>
      <c r="B170" s="48"/>
      <c r="C170" s="58"/>
      <c r="D170" s="11" t="s">
        <v>22</v>
      </c>
      <c r="E170" s="10"/>
      <c r="F170" s="11"/>
      <c r="G170" s="11">
        <v>5</v>
      </c>
      <c r="H170" s="11" t="s">
        <v>23</v>
      </c>
      <c r="I170" s="10" t="s">
        <v>24</v>
      </c>
      <c r="J170" s="32">
        <v>55</v>
      </c>
      <c r="K170" s="11"/>
      <c r="L170" s="2"/>
    </row>
    <row r="171" spans="1:12" s="28" customFormat="1" ht="31.5" customHeight="1">
      <c r="A171" s="11"/>
      <c r="B171" s="48"/>
      <c r="C171" s="56" t="s">
        <v>47</v>
      </c>
      <c r="D171" s="11" t="s">
        <v>42</v>
      </c>
      <c r="E171" s="10">
        <f>6445-110-135</f>
        <v>6200</v>
      </c>
      <c r="F171" s="11">
        <v>36</v>
      </c>
      <c r="G171" s="11">
        <v>960</v>
      </c>
      <c r="H171" s="11" t="s">
        <v>110</v>
      </c>
      <c r="I171" s="10" t="s">
        <v>18</v>
      </c>
      <c r="J171" s="32">
        <f t="shared" ref="J171" si="26">E171*G171/1000000</f>
        <v>5.952</v>
      </c>
      <c r="K171" s="11" t="s">
        <v>102</v>
      </c>
      <c r="L171" s="2"/>
    </row>
    <row r="172" spans="1:12" s="28" customFormat="1" ht="31.5" customHeight="1">
      <c r="A172" s="11"/>
      <c r="B172" s="48"/>
      <c r="C172" s="57"/>
      <c r="D172" s="11" t="s">
        <v>43</v>
      </c>
      <c r="E172" s="10"/>
      <c r="F172" s="11"/>
      <c r="G172" s="11"/>
      <c r="H172" s="11"/>
      <c r="I172" s="10" t="s">
        <v>18</v>
      </c>
      <c r="J172" s="32">
        <f>J171</f>
        <v>5.952</v>
      </c>
      <c r="K172" s="11"/>
      <c r="L172" s="2"/>
    </row>
    <row r="173" spans="1:12" s="28" customFormat="1" ht="31.5" customHeight="1">
      <c r="A173" s="11"/>
      <c r="B173" s="49"/>
      <c r="C173" s="58"/>
      <c r="D173" s="11" t="s">
        <v>22</v>
      </c>
      <c r="E173" s="10"/>
      <c r="F173" s="11"/>
      <c r="G173" s="11">
        <v>5</v>
      </c>
      <c r="H173" s="11" t="s">
        <v>23</v>
      </c>
      <c r="I173" s="10" t="s">
        <v>24</v>
      </c>
      <c r="J173" s="32">
        <f>18.4+20.24</f>
        <v>38.64</v>
      </c>
      <c r="K173" s="11"/>
      <c r="L173" s="2"/>
    </row>
    <row r="174" spans="1:12" s="28" customFormat="1" ht="31.5" customHeight="1">
      <c r="A174" s="11"/>
      <c r="B174" s="47">
        <v>-1E-10</v>
      </c>
      <c r="C174" s="56" t="s">
        <v>54</v>
      </c>
      <c r="D174" s="11" t="s">
        <v>111</v>
      </c>
      <c r="E174" s="10">
        <v>290</v>
      </c>
      <c r="F174" s="11">
        <v>50</v>
      </c>
      <c r="G174" s="11">
        <v>3000</v>
      </c>
      <c r="H174" s="11" t="s">
        <v>26</v>
      </c>
      <c r="I174" s="10" t="s">
        <v>33</v>
      </c>
      <c r="J174" s="32">
        <v>2</v>
      </c>
      <c r="K174" s="11"/>
      <c r="L174" s="2"/>
    </row>
    <row r="175" spans="1:12" s="28" customFormat="1" ht="31.5" customHeight="1">
      <c r="A175" s="11"/>
      <c r="B175" s="48"/>
      <c r="C175" s="57"/>
      <c r="D175" s="11" t="s">
        <v>112</v>
      </c>
      <c r="E175" s="10">
        <f>270*2</f>
        <v>540</v>
      </c>
      <c r="F175" s="11">
        <v>140</v>
      </c>
      <c r="G175" s="11">
        <v>3000</v>
      </c>
      <c r="H175" s="11" t="s">
        <v>107</v>
      </c>
      <c r="I175" s="10" t="s">
        <v>18</v>
      </c>
      <c r="J175" s="32">
        <f t="shared" si="20"/>
        <v>1.62</v>
      </c>
      <c r="K175" s="11" t="s">
        <v>113</v>
      </c>
      <c r="L175" s="2"/>
    </row>
    <row r="176" spans="1:12" s="28" customFormat="1" ht="31.5" customHeight="1">
      <c r="A176" s="11">
        <v>35</v>
      </c>
      <c r="B176" s="48"/>
      <c r="C176" s="57"/>
      <c r="D176" s="11" t="s">
        <v>43</v>
      </c>
      <c r="E176" s="10"/>
      <c r="F176" s="11"/>
      <c r="G176" s="11"/>
      <c r="H176" s="11"/>
      <c r="I176" s="10" t="s">
        <v>18</v>
      </c>
      <c r="J176" s="32">
        <f>J175</f>
        <v>1.62</v>
      </c>
      <c r="K176" s="11"/>
      <c r="L176" s="2"/>
    </row>
    <row r="177" spans="1:12" s="28" customFormat="1" ht="31.5" customHeight="1">
      <c r="A177" s="11"/>
      <c r="B177" s="48"/>
      <c r="C177" s="57"/>
      <c r="D177" s="11" t="s">
        <v>106</v>
      </c>
      <c r="E177" s="10">
        <f>2480+280</f>
        <v>2760</v>
      </c>
      <c r="F177" s="11">
        <v>15</v>
      </c>
      <c r="G177" s="11">
        <v>3000</v>
      </c>
      <c r="H177" s="11" t="s">
        <v>107</v>
      </c>
      <c r="I177" s="10" t="s">
        <v>18</v>
      </c>
      <c r="J177" s="32">
        <f t="shared" si="20"/>
        <v>8.2799999999999994</v>
      </c>
      <c r="K177" s="11" t="s">
        <v>113</v>
      </c>
      <c r="L177" s="2"/>
    </row>
    <row r="178" spans="1:12" s="28" customFormat="1" ht="31.5" customHeight="1">
      <c r="A178" s="11"/>
      <c r="B178" s="48"/>
      <c r="C178" s="57"/>
      <c r="D178" s="11" t="s">
        <v>43</v>
      </c>
      <c r="E178" s="10"/>
      <c r="F178" s="11"/>
      <c r="G178" s="11"/>
      <c r="H178" s="11"/>
      <c r="I178" s="10" t="s">
        <v>18</v>
      </c>
      <c r="J178" s="32">
        <f>J177</f>
        <v>8.2799999999999994</v>
      </c>
      <c r="K178" s="11"/>
      <c r="L178" s="2"/>
    </row>
    <row r="179" spans="1:12" s="28" customFormat="1" ht="31.5" customHeight="1">
      <c r="A179" s="11"/>
      <c r="B179" s="48"/>
      <c r="C179" s="58"/>
      <c r="D179" s="11" t="s">
        <v>22</v>
      </c>
      <c r="E179" s="10"/>
      <c r="F179" s="11"/>
      <c r="G179" s="11">
        <v>5</v>
      </c>
      <c r="H179" s="11" t="s">
        <v>23</v>
      </c>
      <c r="I179" s="10" t="s">
        <v>24</v>
      </c>
      <c r="J179" s="32">
        <f>29.1+20.04</f>
        <v>49.14</v>
      </c>
      <c r="K179" s="11"/>
      <c r="L179" s="2"/>
    </row>
    <row r="180" spans="1:12" s="28" customFormat="1" ht="31.5" customHeight="1">
      <c r="A180" s="11"/>
      <c r="B180" s="48"/>
      <c r="C180" s="56" t="s">
        <v>61</v>
      </c>
      <c r="D180" s="11" t="s">
        <v>96</v>
      </c>
      <c r="E180" s="10"/>
      <c r="F180" s="11">
        <v>36</v>
      </c>
      <c r="G180" s="11">
        <v>80</v>
      </c>
      <c r="H180" s="11" t="s">
        <v>39</v>
      </c>
      <c r="I180" s="10" t="s">
        <v>18</v>
      </c>
      <c r="J180" s="32">
        <f>(E181*2+G181*4)/1000</f>
        <v>19.100000000000001</v>
      </c>
      <c r="K180" s="11"/>
      <c r="L180" s="2"/>
    </row>
    <row r="181" spans="1:12" s="28" customFormat="1" ht="31.5" customHeight="1">
      <c r="A181" s="11"/>
      <c r="B181" s="48"/>
      <c r="C181" s="57"/>
      <c r="D181" s="11" t="s">
        <v>114</v>
      </c>
      <c r="E181" s="10">
        <f>3390+160</f>
        <v>3550</v>
      </c>
      <c r="F181" s="11">
        <v>150</v>
      </c>
      <c r="G181" s="11">
        <v>3000</v>
      </c>
      <c r="H181" s="11" t="s">
        <v>20</v>
      </c>
      <c r="I181" s="10" t="s">
        <v>18</v>
      </c>
      <c r="J181" s="32">
        <f>(E181+G181*2)*F181/1000000</f>
        <v>1.4325000000000001</v>
      </c>
      <c r="K181" s="11"/>
      <c r="L181" s="2"/>
    </row>
    <row r="182" spans="1:12" s="28" customFormat="1" ht="31.5" customHeight="1">
      <c r="A182" s="11"/>
      <c r="B182" s="48"/>
      <c r="C182" s="57"/>
      <c r="D182" s="11" t="s">
        <v>42</v>
      </c>
      <c r="E182" s="10">
        <f>1685+50+50+780+50200</f>
        <v>52765</v>
      </c>
      <c r="F182" s="11">
        <v>36</v>
      </c>
      <c r="G182" s="11">
        <v>3000</v>
      </c>
      <c r="H182" s="11" t="s">
        <v>110</v>
      </c>
      <c r="I182" s="10" t="s">
        <v>18</v>
      </c>
      <c r="J182" s="32">
        <f t="shared" ref="J182" si="27">E182*G182/1000000</f>
        <v>158.29499999999999</v>
      </c>
      <c r="K182" s="11" t="s">
        <v>102</v>
      </c>
      <c r="L182" s="2"/>
    </row>
    <row r="183" spans="1:12" s="28" customFormat="1" ht="31.5" customHeight="1">
      <c r="A183" s="11"/>
      <c r="B183" s="48"/>
      <c r="C183" s="57"/>
      <c r="D183" s="11" t="s">
        <v>43</v>
      </c>
      <c r="E183" s="10"/>
      <c r="F183" s="11"/>
      <c r="G183" s="11"/>
      <c r="H183" s="11"/>
      <c r="I183" s="10" t="s">
        <v>18</v>
      </c>
      <c r="J183" s="32">
        <f>J182</f>
        <v>158.29499999999999</v>
      </c>
      <c r="K183" s="11"/>
      <c r="L183" s="2"/>
    </row>
    <row r="184" spans="1:12" s="28" customFormat="1" ht="31.5" customHeight="1">
      <c r="A184" s="11"/>
      <c r="B184" s="48"/>
      <c r="C184" s="57"/>
      <c r="D184" s="11" t="s">
        <v>22</v>
      </c>
      <c r="E184" s="10"/>
      <c r="F184" s="11"/>
      <c r="G184" s="11">
        <v>5</v>
      </c>
      <c r="H184" s="11" t="s">
        <v>23</v>
      </c>
      <c r="I184" s="10" t="s">
        <v>24</v>
      </c>
      <c r="J184" s="32">
        <f>10.1+8.96</f>
        <v>19.059999999999999</v>
      </c>
      <c r="K184" s="11"/>
      <c r="L184" s="2"/>
    </row>
    <row r="185" spans="1:12" s="28" customFormat="1" ht="31.5" customHeight="1">
      <c r="A185" s="41" t="s">
        <v>115</v>
      </c>
      <c r="B185" s="42"/>
      <c r="C185" s="10"/>
      <c r="D185" s="11"/>
      <c r="E185" s="10"/>
      <c r="F185" s="11"/>
      <c r="G185" s="11"/>
      <c r="H185" s="11"/>
      <c r="I185" s="10"/>
      <c r="J185" s="32"/>
      <c r="K185" s="11"/>
      <c r="L185" s="2"/>
    </row>
    <row r="186" spans="1:12" s="28" customFormat="1" ht="31.5" customHeight="1">
      <c r="A186" s="11"/>
      <c r="B186" s="47">
        <v>-9.9999999999999994E-12</v>
      </c>
      <c r="C186" s="56" t="s">
        <v>47</v>
      </c>
      <c r="D186" s="11" t="s">
        <v>116</v>
      </c>
      <c r="E186" s="10">
        <v>1000</v>
      </c>
      <c r="F186" s="11">
        <v>575</v>
      </c>
      <c r="G186" s="11">
        <v>580</v>
      </c>
      <c r="H186" s="11" t="s">
        <v>20</v>
      </c>
      <c r="I186" s="10" t="s">
        <v>18</v>
      </c>
      <c r="J186" s="32">
        <f t="shared" ref="J186:J246" si="28">E186*G186/1000000</f>
        <v>0.57999999999999996</v>
      </c>
      <c r="K186" s="11" t="s">
        <v>91</v>
      </c>
      <c r="L186" s="2"/>
    </row>
    <row r="187" spans="1:12" s="28" customFormat="1" ht="31.5" customHeight="1">
      <c r="A187" s="11"/>
      <c r="B187" s="49"/>
      <c r="C187" s="58"/>
      <c r="D187" s="11" t="s">
        <v>89</v>
      </c>
      <c r="E187" s="10">
        <v>980</v>
      </c>
      <c r="F187" s="11">
        <v>22</v>
      </c>
      <c r="G187" s="11">
        <v>540</v>
      </c>
      <c r="H187" s="11" t="s">
        <v>26</v>
      </c>
      <c r="I187" s="10" t="s">
        <v>18</v>
      </c>
      <c r="J187" s="32">
        <f t="shared" si="28"/>
        <v>0.5292</v>
      </c>
      <c r="K187" s="11"/>
      <c r="L187" s="2"/>
    </row>
    <row r="188" spans="1:12" s="28" customFormat="1" ht="31.5" customHeight="1">
      <c r="A188" s="41" t="s">
        <v>117</v>
      </c>
      <c r="B188" s="42"/>
      <c r="C188" s="10"/>
      <c r="D188" s="11"/>
      <c r="E188" s="10"/>
      <c r="F188" s="11"/>
      <c r="G188" s="11"/>
      <c r="H188" s="11"/>
      <c r="I188" s="10"/>
      <c r="J188" s="32"/>
      <c r="K188" s="11"/>
      <c r="L188" s="2"/>
    </row>
    <row r="189" spans="1:12" s="28" customFormat="1" ht="31.5" customHeight="1">
      <c r="A189" s="11"/>
      <c r="B189" s="47">
        <v>-1E-14</v>
      </c>
      <c r="C189" s="56" t="s">
        <v>15</v>
      </c>
      <c r="D189" s="11" t="s">
        <v>42</v>
      </c>
      <c r="E189" s="10">
        <f>655*2</f>
        <v>1310</v>
      </c>
      <c r="F189" s="11">
        <v>36</v>
      </c>
      <c r="G189" s="11">
        <v>1050</v>
      </c>
      <c r="H189" s="11" t="s">
        <v>26</v>
      </c>
      <c r="I189" s="10" t="s">
        <v>18</v>
      </c>
      <c r="J189" s="32">
        <f t="shared" si="28"/>
        <v>1.3754999999999999</v>
      </c>
      <c r="K189" s="11"/>
      <c r="L189" s="2"/>
    </row>
    <row r="190" spans="1:12" s="28" customFormat="1" ht="31.5" customHeight="1">
      <c r="A190" s="11"/>
      <c r="B190" s="48"/>
      <c r="C190" s="57"/>
      <c r="D190" s="11" t="s">
        <v>43</v>
      </c>
      <c r="E190" s="10"/>
      <c r="F190" s="11"/>
      <c r="G190" s="11"/>
      <c r="H190" s="11"/>
      <c r="I190" s="10" t="s">
        <v>18</v>
      </c>
      <c r="J190" s="32">
        <f>J189</f>
        <v>1.3754999999999999</v>
      </c>
      <c r="K190" s="11"/>
      <c r="L190" s="2"/>
    </row>
    <row r="191" spans="1:12" s="28" customFormat="1" ht="31.5" customHeight="1">
      <c r="A191" s="11"/>
      <c r="B191" s="48"/>
      <c r="C191" s="57"/>
      <c r="D191" s="11" t="s">
        <v>22</v>
      </c>
      <c r="E191" s="10"/>
      <c r="F191" s="11"/>
      <c r="G191" s="11">
        <v>5</v>
      </c>
      <c r="H191" s="11" t="s">
        <v>23</v>
      </c>
      <c r="I191" s="10" t="s">
        <v>24</v>
      </c>
      <c r="J191" s="32">
        <v>4.5999999999999996</v>
      </c>
      <c r="K191" s="11"/>
      <c r="L191" s="2"/>
    </row>
    <row r="192" spans="1:12" s="28" customFormat="1" ht="31.5" customHeight="1">
      <c r="A192" s="11"/>
      <c r="B192" s="48"/>
      <c r="C192" s="57"/>
      <c r="D192" s="11" t="s">
        <v>118</v>
      </c>
      <c r="E192" s="10"/>
      <c r="F192" s="11">
        <v>32</v>
      </c>
      <c r="G192" s="11">
        <v>40</v>
      </c>
      <c r="H192" s="11" t="s">
        <v>39</v>
      </c>
      <c r="I192" s="10" t="s">
        <v>24</v>
      </c>
      <c r="J192" s="32">
        <v>1.31</v>
      </c>
      <c r="K192" s="11"/>
      <c r="L192" s="2"/>
    </row>
    <row r="193" spans="1:12" s="28" customFormat="1" ht="31.5" customHeight="1">
      <c r="A193" s="11"/>
      <c r="B193" s="48"/>
      <c r="C193" s="58"/>
      <c r="D193" s="11" t="s">
        <v>119</v>
      </c>
      <c r="E193" s="10"/>
      <c r="F193" s="11">
        <v>21</v>
      </c>
      <c r="G193" s="11">
        <v>100</v>
      </c>
      <c r="H193" s="11" t="s">
        <v>26</v>
      </c>
      <c r="I193" s="10" t="s">
        <v>24</v>
      </c>
      <c r="J193" s="32">
        <v>1.31</v>
      </c>
      <c r="K193" s="11"/>
      <c r="L193" s="2"/>
    </row>
    <row r="194" spans="1:12" s="28" customFormat="1" ht="31.5" customHeight="1">
      <c r="A194" s="11"/>
      <c r="B194" s="48"/>
      <c r="C194" s="56" t="s">
        <v>47</v>
      </c>
      <c r="D194" s="11" t="s">
        <v>42</v>
      </c>
      <c r="E194" s="10">
        <f>710+1440+710</f>
        <v>2860</v>
      </c>
      <c r="F194" s="11">
        <v>36</v>
      </c>
      <c r="G194" s="11">
        <v>1050</v>
      </c>
      <c r="H194" s="11" t="s">
        <v>26</v>
      </c>
      <c r="I194" s="10" t="s">
        <v>18</v>
      </c>
      <c r="J194" s="32">
        <f t="shared" ref="J194" si="29">E194*G194/1000000</f>
        <v>3.0030000000000001</v>
      </c>
      <c r="K194" s="11"/>
      <c r="L194" s="2"/>
    </row>
    <row r="195" spans="1:12" s="28" customFormat="1" ht="31.5" customHeight="1">
      <c r="A195" s="11"/>
      <c r="B195" s="48"/>
      <c r="C195" s="57"/>
      <c r="D195" s="11" t="s">
        <v>43</v>
      </c>
      <c r="E195" s="10"/>
      <c r="F195" s="11"/>
      <c r="G195" s="11"/>
      <c r="H195" s="11"/>
      <c r="I195" s="10" t="s">
        <v>18</v>
      </c>
      <c r="J195" s="32">
        <f>J194</f>
        <v>3.0030000000000001</v>
      </c>
      <c r="K195" s="11"/>
      <c r="L195" s="2"/>
    </row>
    <row r="196" spans="1:12" s="28" customFormat="1" ht="31.5" customHeight="1">
      <c r="A196" s="11"/>
      <c r="B196" s="48"/>
      <c r="C196" s="57"/>
      <c r="D196" s="11" t="s">
        <v>22</v>
      </c>
      <c r="E196" s="10"/>
      <c r="F196" s="11"/>
      <c r="G196" s="11">
        <v>5</v>
      </c>
      <c r="H196" s="11" t="s">
        <v>23</v>
      </c>
      <c r="I196" s="10" t="s">
        <v>24</v>
      </c>
      <c r="J196" s="32">
        <v>8.8000000000000007</v>
      </c>
      <c r="K196" s="11"/>
      <c r="L196" s="2"/>
    </row>
    <row r="197" spans="1:12" s="28" customFormat="1" ht="31.5" customHeight="1">
      <c r="A197" s="11"/>
      <c r="B197" s="48"/>
      <c r="C197" s="57"/>
      <c r="D197" s="11" t="s">
        <v>118</v>
      </c>
      <c r="E197" s="10"/>
      <c r="F197" s="11">
        <v>32</v>
      </c>
      <c r="G197" s="11">
        <v>40</v>
      </c>
      <c r="H197" s="11" t="s">
        <v>39</v>
      </c>
      <c r="I197" s="10" t="s">
        <v>24</v>
      </c>
      <c r="J197" s="32">
        <v>2.86</v>
      </c>
      <c r="K197" s="11"/>
      <c r="L197" s="2"/>
    </row>
    <row r="198" spans="1:12" s="28" customFormat="1" ht="31.5" customHeight="1">
      <c r="A198" s="11"/>
      <c r="B198" s="48"/>
      <c r="C198" s="58"/>
      <c r="D198" s="11" t="s">
        <v>119</v>
      </c>
      <c r="E198" s="10"/>
      <c r="F198" s="11">
        <v>21</v>
      </c>
      <c r="G198" s="11">
        <v>100</v>
      </c>
      <c r="H198" s="11" t="s">
        <v>26</v>
      </c>
      <c r="I198" s="10" t="s">
        <v>24</v>
      </c>
      <c r="J198" s="32">
        <v>2.86</v>
      </c>
      <c r="K198" s="11"/>
      <c r="L198" s="2"/>
    </row>
    <row r="199" spans="1:12" s="28" customFormat="1" ht="31.5" customHeight="1">
      <c r="A199" s="11"/>
      <c r="B199" s="48"/>
      <c r="C199" s="56" t="s">
        <v>54</v>
      </c>
      <c r="D199" s="11" t="s">
        <v>42</v>
      </c>
      <c r="E199" s="10">
        <f>710+1340+710</f>
        <v>2760</v>
      </c>
      <c r="F199" s="11">
        <v>36</v>
      </c>
      <c r="G199" s="11">
        <v>1050</v>
      </c>
      <c r="H199" s="11" t="s">
        <v>26</v>
      </c>
      <c r="I199" s="10" t="s">
        <v>18</v>
      </c>
      <c r="J199" s="32">
        <f t="shared" ref="J199" si="30">E199*G199/1000000</f>
        <v>2.8980000000000001</v>
      </c>
      <c r="K199" s="11"/>
      <c r="L199" s="2"/>
    </row>
    <row r="200" spans="1:12" s="28" customFormat="1" ht="31.5" customHeight="1">
      <c r="A200" s="11"/>
      <c r="B200" s="48"/>
      <c r="C200" s="57"/>
      <c r="D200" s="11" t="s">
        <v>43</v>
      </c>
      <c r="E200" s="10"/>
      <c r="F200" s="11"/>
      <c r="G200" s="11"/>
      <c r="H200" s="11"/>
      <c r="I200" s="10" t="s">
        <v>18</v>
      </c>
      <c r="J200" s="32">
        <f>J199</f>
        <v>2.8980000000000001</v>
      </c>
      <c r="K200" s="11"/>
      <c r="L200" s="2"/>
    </row>
    <row r="201" spans="1:12" s="28" customFormat="1" ht="31.5" customHeight="1">
      <c r="A201" s="11"/>
      <c r="B201" s="48"/>
      <c r="C201" s="57"/>
      <c r="D201" s="11" t="s">
        <v>22</v>
      </c>
      <c r="E201" s="10"/>
      <c r="F201" s="11"/>
      <c r="G201" s="11">
        <v>5</v>
      </c>
      <c r="H201" s="11" t="s">
        <v>23</v>
      </c>
      <c r="I201" s="10" t="s">
        <v>24</v>
      </c>
      <c r="J201" s="32">
        <f>4.47+4.2</f>
        <v>8.67</v>
      </c>
      <c r="K201" s="11"/>
      <c r="L201" s="2"/>
    </row>
    <row r="202" spans="1:12" s="28" customFormat="1" ht="31.5" customHeight="1">
      <c r="A202" s="11"/>
      <c r="B202" s="48"/>
      <c r="C202" s="57"/>
      <c r="D202" s="11" t="s">
        <v>118</v>
      </c>
      <c r="E202" s="10"/>
      <c r="F202" s="11">
        <v>32</v>
      </c>
      <c r="G202" s="11">
        <v>40</v>
      </c>
      <c r="H202" s="11" t="s">
        <v>39</v>
      </c>
      <c r="I202" s="10" t="s">
        <v>24</v>
      </c>
      <c r="J202" s="32">
        <v>2.76</v>
      </c>
      <c r="K202" s="11"/>
      <c r="L202" s="2"/>
    </row>
    <row r="203" spans="1:12" s="28" customFormat="1" ht="31.5" customHeight="1">
      <c r="A203" s="11"/>
      <c r="B203" s="48"/>
      <c r="C203" s="58"/>
      <c r="D203" s="11" t="s">
        <v>119</v>
      </c>
      <c r="E203" s="10"/>
      <c r="F203" s="11">
        <v>21</v>
      </c>
      <c r="G203" s="11">
        <v>100</v>
      </c>
      <c r="H203" s="11" t="s">
        <v>26</v>
      </c>
      <c r="I203" s="10" t="s">
        <v>24</v>
      </c>
      <c r="J203" s="32">
        <v>2.76</v>
      </c>
      <c r="K203" s="11"/>
      <c r="L203" s="2"/>
    </row>
    <row r="204" spans="1:12" s="28" customFormat="1" ht="31.5" customHeight="1">
      <c r="A204" s="11"/>
      <c r="B204" s="48"/>
      <c r="C204" s="56" t="s">
        <v>61</v>
      </c>
      <c r="D204" s="11" t="s">
        <v>42</v>
      </c>
      <c r="E204" s="10">
        <f>710+1440+710</f>
        <v>2860</v>
      </c>
      <c r="F204" s="11">
        <v>36</v>
      </c>
      <c r="G204" s="11">
        <v>1050</v>
      </c>
      <c r="H204" s="11" t="s">
        <v>26</v>
      </c>
      <c r="I204" s="10" t="s">
        <v>18</v>
      </c>
      <c r="J204" s="32">
        <f t="shared" ref="J204" si="31">E204*G204/1000000</f>
        <v>3.0030000000000001</v>
      </c>
      <c r="K204" s="11"/>
      <c r="L204" s="2"/>
    </row>
    <row r="205" spans="1:12" s="28" customFormat="1" ht="31.5" customHeight="1">
      <c r="A205" s="11"/>
      <c r="B205" s="48"/>
      <c r="C205" s="57"/>
      <c r="D205" s="11" t="s">
        <v>43</v>
      </c>
      <c r="E205" s="10"/>
      <c r="F205" s="11"/>
      <c r="G205" s="11"/>
      <c r="H205" s="11"/>
      <c r="I205" s="10" t="s">
        <v>18</v>
      </c>
      <c r="J205" s="32">
        <f>J204</f>
        <v>3.0030000000000001</v>
      </c>
      <c r="K205" s="11"/>
      <c r="L205" s="2"/>
    </row>
    <row r="206" spans="1:12" s="28" customFormat="1" ht="31.5" customHeight="1">
      <c r="A206" s="11"/>
      <c r="B206" s="48"/>
      <c r="C206" s="57"/>
      <c r="D206" s="11" t="s">
        <v>22</v>
      </c>
      <c r="E206" s="10"/>
      <c r="F206" s="11"/>
      <c r="G206" s="11">
        <v>5</v>
      </c>
      <c r="H206" s="11" t="s">
        <v>23</v>
      </c>
      <c r="I206" s="10" t="s">
        <v>24</v>
      </c>
      <c r="J206" s="32">
        <v>8.8000000000000007</v>
      </c>
      <c r="K206" s="11"/>
      <c r="L206" s="2"/>
    </row>
    <row r="207" spans="1:12" s="28" customFormat="1" ht="31.5" customHeight="1">
      <c r="A207" s="11"/>
      <c r="B207" s="48"/>
      <c r="C207" s="57"/>
      <c r="D207" s="11" t="s">
        <v>118</v>
      </c>
      <c r="E207" s="10"/>
      <c r="F207" s="11">
        <v>32</v>
      </c>
      <c r="G207" s="11">
        <v>40</v>
      </c>
      <c r="H207" s="11" t="s">
        <v>39</v>
      </c>
      <c r="I207" s="10" t="s">
        <v>24</v>
      </c>
      <c r="J207" s="32">
        <v>2.86</v>
      </c>
      <c r="K207" s="11"/>
      <c r="L207" s="2"/>
    </row>
    <row r="208" spans="1:12" s="28" customFormat="1" ht="31.5" customHeight="1">
      <c r="A208" s="11"/>
      <c r="B208" s="49"/>
      <c r="C208" s="58"/>
      <c r="D208" s="11" t="s">
        <v>119</v>
      </c>
      <c r="E208" s="10"/>
      <c r="F208" s="11">
        <v>21</v>
      </c>
      <c r="G208" s="11">
        <v>100</v>
      </c>
      <c r="H208" s="11" t="s">
        <v>26</v>
      </c>
      <c r="I208" s="10" t="s">
        <v>24</v>
      </c>
      <c r="J208" s="32">
        <v>2.86</v>
      </c>
      <c r="K208" s="11"/>
      <c r="L208" s="2"/>
    </row>
    <row r="209" spans="1:12" s="28" customFormat="1" ht="31.5" customHeight="1">
      <c r="A209" s="41" t="s">
        <v>120</v>
      </c>
      <c r="B209" s="42"/>
      <c r="C209" s="10"/>
      <c r="D209" s="11"/>
      <c r="E209" s="10"/>
      <c r="F209" s="11"/>
      <c r="G209" s="11"/>
      <c r="H209" s="11"/>
      <c r="I209" s="10"/>
      <c r="J209" s="32"/>
      <c r="K209" s="11"/>
      <c r="L209" s="2"/>
    </row>
    <row r="210" spans="1:12" s="28" customFormat="1" ht="31.5" customHeight="1">
      <c r="A210" s="11"/>
      <c r="B210" s="47">
        <v>-9.9999999999999998E-17</v>
      </c>
      <c r="C210" s="56" t="s">
        <v>15</v>
      </c>
      <c r="D210" s="11" t="s">
        <v>121</v>
      </c>
      <c r="E210" s="10">
        <v>1800</v>
      </c>
      <c r="F210" s="11">
        <v>36</v>
      </c>
      <c r="G210" s="11">
        <v>3700</v>
      </c>
      <c r="H210" s="11" t="s">
        <v>26</v>
      </c>
      <c r="I210" s="10" t="s">
        <v>18</v>
      </c>
      <c r="J210" s="32">
        <f t="shared" si="28"/>
        <v>6.66</v>
      </c>
      <c r="K210" s="11"/>
      <c r="L210" s="2"/>
    </row>
    <row r="211" spans="1:12" s="28" customFormat="1" ht="31.5" customHeight="1">
      <c r="A211" s="11"/>
      <c r="B211" s="48"/>
      <c r="C211" s="57"/>
      <c r="D211" s="11" t="s">
        <v>42</v>
      </c>
      <c r="E211" s="10">
        <f>1030+40+225</f>
        <v>1295</v>
      </c>
      <c r="F211" s="11">
        <v>36</v>
      </c>
      <c r="G211" s="11">
        <v>2380</v>
      </c>
      <c r="H211" s="11" t="s">
        <v>26</v>
      </c>
      <c r="I211" s="10" t="s">
        <v>18</v>
      </c>
      <c r="J211" s="32">
        <f t="shared" ref="J211" si="32">E211*G211/1000000</f>
        <v>3.0821000000000001</v>
      </c>
      <c r="K211" s="11"/>
      <c r="L211" s="2"/>
    </row>
    <row r="212" spans="1:12" s="28" customFormat="1" ht="31.5" customHeight="1">
      <c r="A212" s="11"/>
      <c r="B212" s="48"/>
      <c r="C212" s="57"/>
      <c r="D212" s="11" t="s">
        <v>43</v>
      </c>
      <c r="E212" s="10"/>
      <c r="F212" s="11"/>
      <c r="G212" s="11"/>
      <c r="H212" s="11"/>
      <c r="I212" s="10" t="s">
        <v>18</v>
      </c>
      <c r="J212" s="32">
        <f>J211+J210</f>
        <v>9.7421000000000006</v>
      </c>
      <c r="K212" s="11"/>
      <c r="L212" s="2"/>
    </row>
    <row r="213" spans="1:12" s="28" customFormat="1" ht="31.5" customHeight="1">
      <c r="A213" s="11"/>
      <c r="B213" s="48"/>
      <c r="C213" s="57"/>
      <c r="D213" s="11" t="s">
        <v>22</v>
      </c>
      <c r="E213" s="10"/>
      <c r="F213" s="11"/>
      <c r="G213" s="11">
        <v>5</v>
      </c>
      <c r="H213" s="11" t="s">
        <v>23</v>
      </c>
      <c r="I213" s="10" t="s">
        <v>24</v>
      </c>
      <c r="J213" s="32">
        <f>7.74+6.44+8</f>
        <v>22.18</v>
      </c>
      <c r="K213" s="11"/>
      <c r="L213" s="2"/>
    </row>
    <row r="214" spans="1:12" s="28" customFormat="1" ht="31.5" customHeight="1">
      <c r="A214" s="11"/>
      <c r="B214" s="48"/>
      <c r="C214" s="57"/>
      <c r="D214" s="11" t="s">
        <v>122</v>
      </c>
      <c r="E214" s="10">
        <v>3115</v>
      </c>
      <c r="F214" s="11">
        <v>36</v>
      </c>
      <c r="G214" s="11">
        <f>3545+4160</f>
        <v>7705</v>
      </c>
      <c r="H214" s="11" t="s">
        <v>26</v>
      </c>
      <c r="I214" s="10" t="s">
        <v>18</v>
      </c>
      <c r="J214" s="32">
        <f t="shared" ref="J214" si="33">E214*G214/1000000</f>
        <v>24.001075</v>
      </c>
      <c r="K214" s="11" t="s">
        <v>113</v>
      </c>
      <c r="L214" s="2"/>
    </row>
    <row r="215" spans="1:12" s="28" customFormat="1" ht="31.5" customHeight="1">
      <c r="A215" s="11"/>
      <c r="B215" s="48"/>
      <c r="C215" s="57"/>
      <c r="D215" s="11" t="s">
        <v>43</v>
      </c>
      <c r="E215" s="10"/>
      <c r="F215" s="11"/>
      <c r="G215" s="11"/>
      <c r="H215" s="11"/>
      <c r="I215" s="10" t="s">
        <v>18</v>
      </c>
      <c r="J215" s="32">
        <f>J214</f>
        <v>24.001075</v>
      </c>
      <c r="K215" s="11"/>
      <c r="L215" s="2"/>
    </row>
    <row r="216" spans="1:12" s="28" customFormat="1" ht="31.5" customHeight="1">
      <c r="A216" s="11"/>
      <c r="B216" s="48"/>
      <c r="C216" s="57"/>
      <c r="D216" s="11" t="s">
        <v>22</v>
      </c>
      <c r="E216" s="10"/>
      <c r="F216" s="11"/>
      <c r="G216" s="11">
        <v>5</v>
      </c>
      <c r="H216" s="11" t="s">
        <v>23</v>
      </c>
      <c r="I216" s="10" t="s">
        <v>24</v>
      </c>
      <c r="J216" s="32">
        <f>28.4+28.4+39.9</f>
        <v>96.7</v>
      </c>
      <c r="K216" s="11"/>
      <c r="L216" s="2"/>
    </row>
    <row r="217" spans="1:12" s="28" customFormat="1" ht="31.5" customHeight="1">
      <c r="A217" s="11"/>
      <c r="B217" s="47">
        <v>-9.9999999999999998E-17</v>
      </c>
      <c r="C217" s="56" t="s">
        <v>47</v>
      </c>
      <c r="D217" s="11" t="s">
        <v>123</v>
      </c>
      <c r="E217" s="10">
        <v>4200</v>
      </c>
      <c r="F217" s="11">
        <v>36</v>
      </c>
      <c r="G217" s="11">
        <v>11185</v>
      </c>
      <c r="H217" s="11" t="s">
        <v>26</v>
      </c>
      <c r="I217" s="10" t="s">
        <v>18</v>
      </c>
      <c r="J217" s="32">
        <f t="shared" ref="J217" si="34">E217*G217/1000000</f>
        <v>46.976999999999997</v>
      </c>
      <c r="K217" s="11" t="s">
        <v>124</v>
      </c>
      <c r="L217" s="2"/>
    </row>
    <row r="218" spans="1:12" s="28" customFormat="1" ht="31.5" customHeight="1">
      <c r="A218" s="11"/>
      <c r="B218" s="48"/>
      <c r="C218" s="57"/>
      <c r="D218" s="11" t="s">
        <v>43</v>
      </c>
      <c r="E218" s="10"/>
      <c r="F218" s="11"/>
      <c r="G218" s="11"/>
      <c r="H218" s="11"/>
      <c r="I218" s="10" t="s">
        <v>18</v>
      </c>
      <c r="J218" s="32">
        <f>J217</f>
        <v>46.976999999999997</v>
      </c>
      <c r="K218" s="11"/>
      <c r="L218" s="2"/>
    </row>
    <row r="219" spans="1:12" s="28" customFormat="1" ht="31.5" customHeight="1">
      <c r="A219" s="11"/>
      <c r="B219" s="49"/>
      <c r="C219" s="58"/>
      <c r="D219" s="11" t="s">
        <v>22</v>
      </c>
      <c r="E219" s="10"/>
      <c r="F219" s="11"/>
      <c r="G219" s="11">
        <v>5</v>
      </c>
      <c r="H219" s="11" t="s">
        <v>23</v>
      </c>
      <c r="I219" s="10" t="s">
        <v>24</v>
      </c>
      <c r="J219" s="32">
        <v>62</v>
      </c>
      <c r="K219" s="11"/>
      <c r="L219" s="2"/>
    </row>
    <row r="220" spans="1:12" s="28" customFormat="1" ht="31.5" customHeight="1">
      <c r="A220" s="11"/>
      <c r="B220" s="47">
        <v>-1.0000000000000001E-17</v>
      </c>
      <c r="C220" s="56" t="s">
        <v>125</v>
      </c>
      <c r="D220" s="11" t="s">
        <v>42</v>
      </c>
      <c r="E220" s="10">
        <v>3235</v>
      </c>
      <c r="F220" s="11">
        <v>36</v>
      </c>
      <c r="G220" s="11">
        <v>8180</v>
      </c>
      <c r="H220" s="11" t="s">
        <v>26</v>
      </c>
      <c r="I220" s="10" t="s">
        <v>18</v>
      </c>
      <c r="J220" s="32">
        <f t="shared" ref="J220" si="35">E220*G220/1000000</f>
        <v>26.462299999999999</v>
      </c>
      <c r="K220" s="11" t="s">
        <v>113</v>
      </c>
      <c r="L220" s="2"/>
    </row>
    <row r="221" spans="1:12" s="28" customFormat="1" ht="31.5" customHeight="1">
      <c r="A221" s="11"/>
      <c r="B221" s="48"/>
      <c r="C221" s="57"/>
      <c r="D221" s="11" t="s">
        <v>43</v>
      </c>
      <c r="E221" s="10"/>
      <c r="F221" s="11"/>
      <c r="G221" s="11"/>
      <c r="H221" s="11"/>
      <c r="I221" s="10" t="s">
        <v>18</v>
      </c>
      <c r="J221" s="32">
        <f>J220</f>
        <v>26.462299999999999</v>
      </c>
      <c r="K221" s="11"/>
      <c r="L221" s="2"/>
    </row>
    <row r="222" spans="1:12" s="28" customFormat="1" ht="31.5" customHeight="1">
      <c r="A222" s="10"/>
      <c r="B222" s="49"/>
      <c r="C222" s="58"/>
      <c r="D222" s="11" t="s">
        <v>22</v>
      </c>
      <c r="E222" s="10"/>
      <c r="F222" s="11"/>
      <c r="G222" s="11">
        <v>5</v>
      </c>
      <c r="H222" s="11" t="s">
        <v>23</v>
      </c>
      <c r="I222" s="10" t="s">
        <v>24</v>
      </c>
      <c r="J222" s="32">
        <v>32</v>
      </c>
      <c r="K222" s="11"/>
      <c r="L222" s="2"/>
    </row>
    <row r="223" spans="1:12" s="28" customFormat="1" ht="31.5" customHeight="1">
      <c r="A223" s="41" t="s">
        <v>126</v>
      </c>
      <c r="B223" s="42"/>
      <c r="C223" s="10"/>
      <c r="D223" s="11"/>
      <c r="E223" s="10"/>
      <c r="F223" s="11"/>
      <c r="G223" s="11"/>
      <c r="H223" s="11"/>
      <c r="I223" s="10"/>
      <c r="J223" s="32"/>
      <c r="K223" s="11"/>
      <c r="L223" s="2"/>
    </row>
    <row r="224" spans="1:12" s="28" customFormat="1" ht="31.5" customHeight="1">
      <c r="A224" s="11"/>
      <c r="B224" s="47">
        <v>-9.9999999999999998E-20</v>
      </c>
      <c r="C224" s="56" t="s">
        <v>15</v>
      </c>
      <c r="D224" s="11" t="s">
        <v>127</v>
      </c>
      <c r="E224" s="10"/>
      <c r="F224" s="11">
        <v>36</v>
      </c>
      <c r="G224" s="11">
        <v>80</v>
      </c>
      <c r="H224" s="11" t="s">
        <v>39</v>
      </c>
      <c r="I224" s="10" t="s">
        <v>18</v>
      </c>
      <c r="J224" s="32">
        <f>(E225*2+G225*4)/1000</f>
        <v>13.76</v>
      </c>
      <c r="K224" s="11"/>
      <c r="L224" s="2"/>
    </row>
    <row r="225" spans="1:12" s="28" customFormat="1" ht="31.5" customHeight="1">
      <c r="A225" s="11"/>
      <c r="B225" s="48"/>
      <c r="C225" s="57"/>
      <c r="D225" s="11" t="s">
        <v>53</v>
      </c>
      <c r="E225" s="10">
        <v>880</v>
      </c>
      <c r="F225" s="11">
        <v>200</v>
      </c>
      <c r="G225" s="11">
        <v>3000</v>
      </c>
      <c r="H225" s="11" t="s">
        <v>20</v>
      </c>
      <c r="I225" s="10" t="s">
        <v>18</v>
      </c>
      <c r="J225" s="32">
        <f>(E225+G225*2)*F225/1000000</f>
        <v>1.3759999999999999</v>
      </c>
      <c r="K225" s="11"/>
      <c r="L225" s="2"/>
    </row>
    <row r="226" spans="1:12" s="28" customFormat="1" ht="31.5" customHeight="1">
      <c r="A226" s="11"/>
      <c r="B226" s="48"/>
      <c r="C226" s="57"/>
      <c r="D226" s="11" t="s">
        <v>65</v>
      </c>
      <c r="E226" s="10">
        <f>E225-160</f>
        <v>720</v>
      </c>
      <c r="F226" s="11">
        <v>50</v>
      </c>
      <c r="G226" s="11">
        <v>2450</v>
      </c>
      <c r="H226" s="11" t="s">
        <v>35</v>
      </c>
      <c r="I226" s="10" t="s">
        <v>18</v>
      </c>
      <c r="J226" s="32">
        <f t="shared" ref="J226" si="36">E226*G226/1000000</f>
        <v>1.764</v>
      </c>
      <c r="K226" s="11" t="s">
        <v>67</v>
      </c>
      <c r="L226" s="2"/>
    </row>
    <row r="227" spans="1:12" s="28" customFormat="1" ht="31.5" customHeight="1">
      <c r="A227" s="11"/>
      <c r="B227" s="48"/>
      <c r="C227" s="57"/>
      <c r="D227" s="11" t="s">
        <v>22</v>
      </c>
      <c r="E227" s="10"/>
      <c r="F227" s="11"/>
      <c r="G227" s="11">
        <v>5</v>
      </c>
      <c r="H227" s="11" t="s">
        <v>23</v>
      </c>
      <c r="I227" s="10" t="s">
        <v>24</v>
      </c>
      <c r="J227" s="32">
        <v>6.5</v>
      </c>
      <c r="K227" s="11"/>
      <c r="L227" s="2"/>
    </row>
    <row r="228" spans="1:12" s="28" customFormat="1" ht="31.5" customHeight="1">
      <c r="A228" s="11"/>
      <c r="B228" s="48"/>
      <c r="C228" s="57"/>
      <c r="D228" s="11" t="s">
        <v>59</v>
      </c>
      <c r="E228" s="10">
        <v>720</v>
      </c>
      <c r="F228" s="11">
        <v>32</v>
      </c>
      <c r="G228" s="11">
        <v>550</v>
      </c>
      <c r="H228" s="11" t="s">
        <v>35</v>
      </c>
      <c r="I228" s="10" t="s">
        <v>18</v>
      </c>
      <c r="J228" s="32">
        <f t="shared" ref="J228" si="37">E228*G228/1000000</f>
        <v>0.39600000000000002</v>
      </c>
      <c r="K228" s="11"/>
      <c r="L228" s="2"/>
    </row>
    <row r="229" spans="1:12" s="28" customFormat="1" ht="31.5" customHeight="1">
      <c r="A229" s="11"/>
      <c r="B229" s="49"/>
      <c r="C229" s="58"/>
      <c r="D229" s="11" t="s">
        <v>59</v>
      </c>
      <c r="E229" s="10">
        <v>720</v>
      </c>
      <c r="F229" s="11">
        <v>32</v>
      </c>
      <c r="G229" s="11">
        <v>400</v>
      </c>
      <c r="H229" s="11" t="s">
        <v>35</v>
      </c>
      <c r="I229" s="10" t="s">
        <v>18</v>
      </c>
      <c r="J229" s="32">
        <f t="shared" ref="J229" si="38">E229*G229/1000000</f>
        <v>0.28799999999999998</v>
      </c>
      <c r="K229" s="11"/>
      <c r="L229" s="2"/>
    </row>
    <row r="230" spans="1:12" s="28" customFormat="1" ht="31.5" customHeight="1">
      <c r="A230" s="41" t="s">
        <v>128</v>
      </c>
      <c r="B230" s="42"/>
      <c r="C230" s="10"/>
      <c r="D230" s="11"/>
      <c r="E230" s="10"/>
      <c r="F230" s="11"/>
      <c r="G230" s="11"/>
      <c r="H230" s="11"/>
      <c r="I230" s="10"/>
      <c r="J230" s="32"/>
      <c r="K230" s="11"/>
      <c r="L230" s="2"/>
    </row>
    <row r="231" spans="1:12" s="28" customFormat="1" ht="31.5" customHeight="1">
      <c r="A231" s="11"/>
      <c r="B231" s="47">
        <v>-9.9999999999999991E-22</v>
      </c>
      <c r="C231" s="56" t="s">
        <v>61</v>
      </c>
      <c r="D231" s="11" t="s">
        <v>129</v>
      </c>
      <c r="E231" s="10"/>
      <c r="F231" s="11">
        <v>36</v>
      </c>
      <c r="G231" s="11">
        <v>80</v>
      </c>
      <c r="H231" s="11" t="s">
        <v>130</v>
      </c>
      <c r="I231" s="10" t="s">
        <v>18</v>
      </c>
      <c r="J231" s="32">
        <f>(E232*2+G232*4)/1000</f>
        <v>14.06</v>
      </c>
      <c r="K231" s="11"/>
      <c r="L231" s="2"/>
    </row>
    <row r="232" spans="1:12" s="28" customFormat="1" ht="31.5" customHeight="1">
      <c r="A232" s="11"/>
      <c r="B232" s="48"/>
      <c r="C232" s="57"/>
      <c r="D232" s="11" t="s">
        <v>53</v>
      </c>
      <c r="E232" s="10">
        <v>1030</v>
      </c>
      <c r="F232" s="11">
        <v>200</v>
      </c>
      <c r="G232" s="11">
        <v>3000</v>
      </c>
      <c r="H232" s="11" t="s">
        <v>131</v>
      </c>
      <c r="I232" s="10" t="s">
        <v>18</v>
      </c>
      <c r="J232" s="32">
        <f>(E232+G232*2)*F232/1000000</f>
        <v>1.4059999999999999</v>
      </c>
      <c r="K232" s="11"/>
      <c r="L232" s="2"/>
    </row>
    <row r="233" spans="1:12" s="28" customFormat="1" ht="31.5" customHeight="1">
      <c r="A233" s="11"/>
      <c r="B233" s="48"/>
      <c r="C233" s="57"/>
      <c r="D233" s="11" t="s">
        <v>65</v>
      </c>
      <c r="E233" s="10">
        <f>E232-160</f>
        <v>870</v>
      </c>
      <c r="F233" s="11">
        <v>50</v>
      </c>
      <c r="G233" s="11">
        <v>2400</v>
      </c>
      <c r="H233" s="11" t="s">
        <v>132</v>
      </c>
      <c r="I233" s="10" t="s">
        <v>18</v>
      </c>
      <c r="J233" s="32">
        <f t="shared" ref="J233" si="39">E233*G233/1000000</f>
        <v>2.0880000000000001</v>
      </c>
      <c r="K233" s="11" t="s">
        <v>67</v>
      </c>
      <c r="L233" s="2"/>
    </row>
    <row r="234" spans="1:12" s="28" customFormat="1" ht="31.5" customHeight="1">
      <c r="A234" s="11"/>
      <c r="B234" s="48"/>
      <c r="C234" s="57"/>
      <c r="D234" s="11" t="s">
        <v>22</v>
      </c>
      <c r="E234" s="10"/>
      <c r="F234" s="11"/>
      <c r="G234" s="11">
        <v>5</v>
      </c>
      <c r="H234" s="11" t="s">
        <v>23</v>
      </c>
      <c r="I234" s="10" t="s">
        <v>24</v>
      </c>
      <c r="J234" s="32">
        <v>7</v>
      </c>
      <c r="K234" s="11"/>
      <c r="L234" s="2"/>
    </row>
    <row r="235" spans="1:12" s="28" customFormat="1" ht="31.5" customHeight="1">
      <c r="A235" s="11"/>
      <c r="B235" s="48"/>
      <c r="C235" s="57"/>
      <c r="D235" s="11" t="s">
        <v>59</v>
      </c>
      <c r="E235" s="10">
        <v>870</v>
      </c>
      <c r="F235" s="11">
        <v>32</v>
      </c>
      <c r="G235" s="11">
        <v>600</v>
      </c>
      <c r="H235" s="11" t="s">
        <v>132</v>
      </c>
      <c r="I235" s="10" t="s">
        <v>18</v>
      </c>
      <c r="J235" s="32">
        <f t="shared" ref="J235:J236" si="40">E235*G235/1000000</f>
        <v>0.52200000000000002</v>
      </c>
      <c r="K235" s="11"/>
      <c r="L235" s="2"/>
    </row>
    <row r="236" spans="1:12" s="28" customFormat="1" ht="31.5" customHeight="1">
      <c r="A236" s="11"/>
      <c r="B236" s="49"/>
      <c r="C236" s="58"/>
      <c r="D236" s="11" t="s">
        <v>59</v>
      </c>
      <c r="E236" s="10">
        <v>870</v>
      </c>
      <c r="F236" s="11">
        <v>32</v>
      </c>
      <c r="G236" s="11">
        <v>600</v>
      </c>
      <c r="H236" s="11" t="s">
        <v>132</v>
      </c>
      <c r="I236" s="10" t="s">
        <v>18</v>
      </c>
      <c r="J236" s="32">
        <f t="shared" si="40"/>
        <v>0.52200000000000002</v>
      </c>
      <c r="K236" s="11"/>
      <c r="L236" s="2"/>
    </row>
    <row r="237" spans="1:12" s="28" customFormat="1" ht="31.5" customHeight="1">
      <c r="A237" s="39" t="s">
        <v>133</v>
      </c>
      <c r="B237" s="39"/>
      <c r="C237" s="39"/>
      <c r="D237" s="11"/>
      <c r="E237" s="10"/>
      <c r="F237" s="11"/>
      <c r="G237" s="11"/>
      <c r="H237" s="11"/>
      <c r="I237" s="10"/>
      <c r="J237" s="32"/>
      <c r="K237" s="11"/>
      <c r="L237" s="2"/>
    </row>
    <row r="238" spans="1:12" s="28" customFormat="1" ht="31.5" customHeight="1">
      <c r="A238" s="41" t="s">
        <v>134</v>
      </c>
      <c r="B238" s="42"/>
      <c r="C238" s="10"/>
      <c r="D238" s="11"/>
      <c r="E238" s="10"/>
      <c r="F238" s="11"/>
      <c r="G238" s="11"/>
      <c r="H238" s="11"/>
      <c r="I238" s="10"/>
      <c r="J238" s="32"/>
      <c r="K238" s="11"/>
      <c r="L238" s="2"/>
    </row>
    <row r="239" spans="1:12" s="28" customFormat="1" ht="31.5" customHeight="1">
      <c r="A239" s="11"/>
      <c r="B239" s="47">
        <v>0.1</v>
      </c>
      <c r="C239" s="56" t="s">
        <v>15</v>
      </c>
      <c r="D239" s="11" t="s">
        <v>42</v>
      </c>
      <c r="E239" s="10">
        <f>380*4</f>
        <v>1520</v>
      </c>
      <c r="F239" s="11">
        <v>32</v>
      </c>
      <c r="G239" s="11">
        <v>5050</v>
      </c>
      <c r="H239" s="11" t="s">
        <v>135</v>
      </c>
      <c r="I239" s="10" t="s">
        <v>18</v>
      </c>
      <c r="J239" s="32">
        <f t="shared" si="28"/>
        <v>7.6760000000000002</v>
      </c>
      <c r="K239" s="11" t="s">
        <v>113</v>
      </c>
      <c r="L239" s="2"/>
    </row>
    <row r="240" spans="1:12" s="28" customFormat="1" ht="31.5" customHeight="1">
      <c r="A240" s="11"/>
      <c r="B240" s="48"/>
      <c r="C240" s="57"/>
      <c r="D240" s="11" t="s">
        <v>136</v>
      </c>
      <c r="E240" s="10">
        <v>5040</v>
      </c>
      <c r="F240" s="11">
        <v>32</v>
      </c>
      <c r="G240" s="11">
        <v>551</v>
      </c>
      <c r="H240" s="11" t="s">
        <v>137</v>
      </c>
      <c r="I240" s="10" t="s">
        <v>18</v>
      </c>
      <c r="J240" s="32">
        <f t="shared" si="28"/>
        <v>2.77704</v>
      </c>
      <c r="K240" s="11"/>
      <c r="L240" s="2"/>
    </row>
    <row r="241" spans="1:12" s="28" customFormat="1" ht="31.5" customHeight="1">
      <c r="A241" s="11"/>
      <c r="B241" s="48"/>
      <c r="C241" s="57"/>
      <c r="D241" s="11" t="s">
        <v>43</v>
      </c>
      <c r="E241" s="10"/>
      <c r="F241" s="11"/>
      <c r="G241" s="11"/>
      <c r="H241" s="11"/>
      <c r="I241" s="10" t="s">
        <v>18</v>
      </c>
      <c r="J241" s="32">
        <f>J240+J239</f>
        <v>10.45304</v>
      </c>
      <c r="K241" s="11"/>
      <c r="L241" s="2"/>
    </row>
    <row r="242" spans="1:12" s="28" customFormat="1" ht="31.5" customHeight="1">
      <c r="A242" s="11"/>
      <c r="B242" s="48"/>
      <c r="C242" s="57"/>
      <c r="D242" s="11" t="s">
        <v>22</v>
      </c>
      <c r="E242" s="10"/>
      <c r="F242" s="11"/>
      <c r="G242" s="11">
        <v>5</v>
      </c>
      <c r="H242" s="11" t="s">
        <v>23</v>
      </c>
      <c r="I242" s="10" t="s">
        <v>24</v>
      </c>
      <c r="J242" s="32">
        <v>60</v>
      </c>
      <c r="K242" s="11"/>
      <c r="L242" s="2"/>
    </row>
    <row r="243" spans="1:12" s="28" customFormat="1" ht="31.5" customHeight="1">
      <c r="A243" s="11"/>
      <c r="B243" s="48"/>
      <c r="C243" s="57"/>
      <c r="D243" s="11" t="s">
        <v>138</v>
      </c>
      <c r="E243" s="10">
        <f>900*2</f>
        <v>1800</v>
      </c>
      <c r="F243" s="11">
        <v>470</v>
      </c>
      <c r="G243" s="11">
        <v>5050</v>
      </c>
      <c r="H243" s="11" t="s">
        <v>35</v>
      </c>
      <c r="I243" s="10" t="s">
        <v>18</v>
      </c>
      <c r="J243" s="32">
        <f t="shared" si="28"/>
        <v>9.09</v>
      </c>
      <c r="K243" s="11" t="s">
        <v>139</v>
      </c>
      <c r="L243" s="2"/>
    </row>
    <row r="244" spans="1:12" s="28" customFormat="1" ht="31.5" customHeight="1">
      <c r="A244" s="11"/>
      <c r="B244" s="48"/>
      <c r="C244" s="57"/>
      <c r="D244" s="11" t="s">
        <v>140</v>
      </c>
      <c r="E244" s="10"/>
      <c r="F244" s="11">
        <v>36</v>
      </c>
      <c r="G244" s="11">
        <v>80</v>
      </c>
      <c r="H244" s="11" t="s">
        <v>39</v>
      </c>
      <c r="I244" s="10" t="s">
        <v>18</v>
      </c>
      <c r="J244" s="32">
        <f>(E245*2+G245*4)/1000</f>
        <v>20.61</v>
      </c>
      <c r="K244" s="11"/>
      <c r="L244" s="2"/>
    </row>
    <row r="245" spans="1:12" s="28" customFormat="1" ht="31.5" customHeight="1">
      <c r="A245" s="11"/>
      <c r="B245" s="49"/>
      <c r="C245" s="58"/>
      <c r="D245" s="11" t="s">
        <v>53</v>
      </c>
      <c r="E245" s="10">
        <f>1165+180</f>
        <v>1345</v>
      </c>
      <c r="F245" s="11">
        <v>754</v>
      </c>
      <c r="G245" s="11">
        <v>4480</v>
      </c>
      <c r="H245" s="11" t="s">
        <v>20</v>
      </c>
      <c r="I245" s="10" t="s">
        <v>18</v>
      </c>
      <c r="J245" s="32">
        <f>(E245+G245*2)*F245/1000000</f>
        <v>7.7699699999999998</v>
      </c>
      <c r="K245" s="11" t="s">
        <v>141</v>
      </c>
      <c r="L245" s="2"/>
    </row>
    <row r="246" spans="1:12" s="28" customFormat="1" ht="31.5" customHeight="1">
      <c r="A246" s="11"/>
      <c r="B246" s="47">
        <v>0.01</v>
      </c>
      <c r="C246" s="56" t="s">
        <v>47</v>
      </c>
      <c r="D246" s="11" t="s">
        <v>142</v>
      </c>
      <c r="E246" s="10">
        <f>700*2</f>
        <v>1400</v>
      </c>
      <c r="F246" s="11">
        <v>32</v>
      </c>
      <c r="G246" s="11">
        <v>4609</v>
      </c>
      <c r="H246" s="11" t="s">
        <v>143</v>
      </c>
      <c r="I246" s="10" t="s">
        <v>18</v>
      </c>
      <c r="J246" s="32">
        <f t="shared" si="28"/>
        <v>6.4526000000000003</v>
      </c>
      <c r="K246" s="11" t="s">
        <v>113</v>
      </c>
      <c r="L246" s="2"/>
    </row>
    <row r="247" spans="1:12" s="28" customFormat="1" ht="31.5" customHeight="1">
      <c r="A247" s="11"/>
      <c r="B247" s="48"/>
      <c r="C247" s="57"/>
      <c r="D247" s="11" t="s">
        <v>136</v>
      </c>
      <c r="E247" s="10">
        <f>1280*2</f>
        <v>2560</v>
      </c>
      <c r="F247" s="11">
        <v>32</v>
      </c>
      <c r="G247" s="11">
        <v>551</v>
      </c>
      <c r="H247" s="11" t="s">
        <v>137</v>
      </c>
      <c r="I247" s="10" t="s">
        <v>18</v>
      </c>
      <c r="J247" s="32">
        <f t="shared" ref="J247" si="41">E247*G247/1000000</f>
        <v>1.41056</v>
      </c>
      <c r="K247" s="11"/>
      <c r="L247" s="2"/>
    </row>
    <row r="248" spans="1:12" s="28" customFormat="1" ht="31.5" customHeight="1">
      <c r="A248" s="11"/>
      <c r="B248" s="48"/>
      <c r="C248" s="57"/>
      <c r="D248" s="11" t="s">
        <v>22</v>
      </c>
      <c r="E248" s="10"/>
      <c r="F248" s="11"/>
      <c r="G248" s="11">
        <v>5</v>
      </c>
      <c r="H248" s="11" t="s">
        <v>23</v>
      </c>
      <c r="I248" s="10" t="s">
        <v>24</v>
      </c>
      <c r="J248" s="32">
        <f>16.6+3.85+15</f>
        <v>35.450000000000003</v>
      </c>
      <c r="K248" s="11"/>
      <c r="L248" s="2"/>
    </row>
    <row r="249" spans="1:12" s="28" customFormat="1" ht="31.5" customHeight="1">
      <c r="A249" s="11"/>
      <c r="B249" s="48"/>
      <c r="C249" s="57"/>
      <c r="D249" s="11" t="s">
        <v>43</v>
      </c>
      <c r="E249" s="10"/>
      <c r="F249" s="11"/>
      <c r="G249" s="11"/>
      <c r="H249" s="11"/>
      <c r="I249" s="10" t="s">
        <v>18</v>
      </c>
      <c r="J249" s="32">
        <f>J247+J246</f>
        <v>7.8631599999999997</v>
      </c>
      <c r="K249" s="11"/>
      <c r="L249" s="2"/>
    </row>
    <row r="250" spans="1:12" s="28" customFormat="1" ht="31.5" customHeight="1">
      <c r="A250" s="11"/>
      <c r="B250" s="48"/>
      <c r="C250" s="57"/>
      <c r="D250" s="11" t="s">
        <v>96</v>
      </c>
      <c r="E250" s="10"/>
      <c r="F250" s="11">
        <v>36</v>
      </c>
      <c r="G250" s="11">
        <v>80</v>
      </c>
      <c r="H250" s="11" t="s">
        <v>144</v>
      </c>
      <c r="I250" s="10" t="s">
        <v>18</v>
      </c>
      <c r="J250" s="32">
        <f>(E251*2+G251*4)/1000</f>
        <v>28.756</v>
      </c>
      <c r="K250" s="11"/>
      <c r="L250" s="2"/>
    </row>
    <row r="251" spans="1:12" s="28" customFormat="1" ht="31.5" customHeight="1">
      <c r="A251" s="11"/>
      <c r="B251" s="49"/>
      <c r="C251" s="58"/>
      <c r="D251" s="11" t="s">
        <v>114</v>
      </c>
      <c r="E251" s="10">
        <v>5160</v>
      </c>
      <c r="F251" s="11">
        <v>100</v>
      </c>
      <c r="G251" s="11">
        <v>4609</v>
      </c>
      <c r="H251" s="11" t="s">
        <v>20</v>
      </c>
      <c r="I251" s="10" t="s">
        <v>18</v>
      </c>
      <c r="J251" s="32">
        <f>(E251+G251*2)*F251/1000000</f>
        <v>1.4378</v>
      </c>
      <c r="K251" s="11"/>
      <c r="L251" s="2"/>
    </row>
    <row r="252" spans="1:12" s="28" customFormat="1" ht="31.5" customHeight="1">
      <c r="A252" s="11"/>
      <c r="B252" s="47">
        <v>1E-3</v>
      </c>
      <c r="C252" s="56" t="s">
        <v>54</v>
      </c>
      <c r="D252" s="11" t="s">
        <v>145</v>
      </c>
      <c r="E252" s="10">
        <v>2240</v>
      </c>
      <c r="F252" s="11">
        <v>32</v>
      </c>
      <c r="G252" s="11">
        <v>5050</v>
      </c>
      <c r="H252" s="11" t="s">
        <v>143</v>
      </c>
      <c r="I252" s="10" t="s">
        <v>18</v>
      </c>
      <c r="J252" s="32">
        <f t="shared" ref="J252:J253" si="42">E252*G252/1000000</f>
        <v>11.311999999999999</v>
      </c>
      <c r="K252" s="11" t="s">
        <v>146</v>
      </c>
      <c r="L252" s="2"/>
    </row>
    <row r="253" spans="1:12" s="28" customFormat="1" ht="31.5" customHeight="1">
      <c r="A253" s="11"/>
      <c r="B253" s="48"/>
      <c r="C253" s="57"/>
      <c r="D253" s="11" t="s">
        <v>136</v>
      </c>
      <c r="E253" s="10">
        <v>6620</v>
      </c>
      <c r="F253" s="11">
        <v>32</v>
      </c>
      <c r="G253" s="11">
        <v>551</v>
      </c>
      <c r="H253" s="11" t="s">
        <v>137</v>
      </c>
      <c r="I253" s="10" t="s">
        <v>18</v>
      </c>
      <c r="J253" s="32">
        <f t="shared" si="42"/>
        <v>3.6476199999999999</v>
      </c>
      <c r="K253" s="11"/>
      <c r="L253" s="2"/>
    </row>
    <row r="254" spans="1:12" s="28" customFormat="1" ht="31.5" customHeight="1">
      <c r="A254" s="11"/>
      <c r="B254" s="48"/>
      <c r="C254" s="57"/>
      <c r="D254" s="11" t="s">
        <v>43</v>
      </c>
      <c r="E254" s="10"/>
      <c r="F254" s="11"/>
      <c r="G254" s="11"/>
      <c r="H254" s="11"/>
      <c r="I254" s="10" t="s">
        <v>18</v>
      </c>
      <c r="J254" s="32">
        <f>J253+J252</f>
        <v>14.959619999999999</v>
      </c>
      <c r="K254" s="11"/>
      <c r="L254" s="2"/>
    </row>
    <row r="255" spans="1:12" s="28" customFormat="1" ht="31.5" customHeight="1">
      <c r="A255" s="11"/>
      <c r="B255" s="49"/>
      <c r="C255" s="58"/>
      <c r="D255" s="11" t="s">
        <v>22</v>
      </c>
      <c r="E255" s="10"/>
      <c r="F255" s="11"/>
      <c r="G255" s="11">
        <v>5</v>
      </c>
      <c r="H255" s="11" t="s">
        <v>23</v>
      </c>
      <c r="I255" s="10" t="s">
        <v>24</v>
      </c>
      <c r="J255" s="32">
        <v>40</v>
      </c>
      <c r="K255" s="11"/>
      <c r="L255" s="2"/>
    </row>
    <row r="256" spans="1:12" s="28" customFormat="1" ht="31.5" customHeight="1">
      <c r="A256" s="11"/>
      <c r="B256" s="47">
        <v>1E-4</v>
      </c>
      <c r="C256" s="56" t="s">
        <v>61</v>
      </c>
      <c r="D256" s="11" t="s">
        <v>145</v>
      </c>
      <c r="E256" s="10">
        <f>730+560+560+730</f>
        <v>2580</v>
      </c>
      <c r="F256" s="11">
        <v>32</v>
      </c>
      <c r="G256" s="11">
        <v>4520</v>
      </c>
      <c r="H256" s="11" t="s">
        <v>143</v>
      </c>
      <c r="I256" s="10" t="s">
        <v>18</v>
      </c>
      <c r="J256" s="32">
        <f t="shared" ref="J256" si="43">E256*G256/1000000</f>
        <v>11.6616</v>
      </c>
      <c r="K256" s="11" t="s">
        <v>113</v>
      </c>
      <c r="L256" s="2"/>
    </row>
    <row r="257" spans="1:12" s="28" customFormat="1" ht="31.5" customHeight="1">
      <c r="A257" s="11"/>
      <c r="B257" s="48"/>
      <c r="C257" s="57"/>
      <c r="D257" s="11" t="s">
        <v>43</v>
      </c>
      <c r="E257" s="10"/>
      <c r="F257" s="11"/>
      <c r="G257" s="11"/>
      <c r="H257" s="11"/>
      <c r="I257" s="10" t="s">
        <v>18</v>
      </c>
      <c r="J257" s="32">
        <f>J256+J259</f>
        <v>15.30922</v>
      </c>
      <c r="K257" s="11"/>
      <c r="L257" s="2"/>
    </row>
    <row r="258" spans="1:12" s="28" customFormat="1" ht="31.5" customHeight="1">
      <c r="A258" s="11"/>
      <c r="B258" s="48"/>
      <c r="C258" s="57"/>
      <c r="D258" s="11" t="s">
        <v>22</v>
      </c>
      <c r="E258" s="10"/>
      <c r="F258" s="11"/>
      <c r="G258" s="11">
        <v>5</v>
      </c>
      <c r="H258" s="11" t="s">
        <v>23</v>
      </c>
      <c r="I258" s="10" t="s">
        <v>24</v>
      </c>
      <c r="J258" s="32">
        <f>33.2+7.8</f>
        <v>41</v>
      </c>
      <c r="K258" s="11"/>
      <c r="L258" s="2"/>
    </row>
    <row r="259" spans="1:12" s="28" customFormat="1" ht="31.5" customHeight="1">
      <c r="A259" s="11"/>
      <c r="B259" s="49"/>
      <c r="C259" s="58"/>
      <c r="D259" s="11" t="s">
        <v>136</v>
      </c>
      <c r="E259" s="10">
        <v>6620</v>
      </c>
      <c r="F259" s="11">
        <v>32</v>
      </c>
      <c r="G259" s="11">
        <v>551</v>
      </c>
      <c r="H259" s="11" t="s">
        <v>137</v>
      </c>
      <c r="I259" s="10" t="s">
        <v>18</v>
      </c>
      <c r="J259" s="32">
        <f t="shared" ref="J259" si="44">E259*G259/1000000</f>
        <v>3.6476199999999999</v>
      </c>
      <c r="K259" s="11"/>
      <c r="L259" s="2"/>
    </row>
    <row r="260" spans="1:12" s="28" customFormat="1" ht="31.5" customHeight="1">
      <c r="A260" s="41" t="s">
        <v>147</v>
      </c>
      <c r="B260" s="42"/>
      <c r="C260" s="10"/>
      <c r="D260" s="11"/>
      <c r="E260" s="10"/>
      <c r="F260" s="11"/>
      <c r="G260" s="11"/>
      <c r="H260" s="11"/>
      <c r="I260" s="10"/>
      <c r="J260" s="32"/>
      <c r="K260" s="11"/>
      <c r="L260" s="2"/>
    </row>
    <row r="261" spans="1:12" s="28" customFormat="1" ht="31.5" customHeight="1">
      <c r="A261" s="11"/>
      <c r="B261" s="47">
        <v>9.9999999999999995E-8</v>
      </c>
      <c r="C261" s="56" t="s">
        <v>15</v>
      </c>
      <c r="D261" s="11" t="s">
        <v>148</v>
      </c>
      <c r="E261" s="10"/>
      <c r="F261" s="11">
        <v>36</v>
      </c>
      <c r="G261" s="11">
        <v>80</v>
      </c>
      <c r="H261" s="11" t="s">
        <v>39</v>
      </c>
      <c r="I261" s="10" t="s">
        <v>18</v>
      </c>
      <c r="J261" s="32">
        <f>(E262*2+G262*4)/1000</f>
        <v>14.86</v>
      </c>
      <c r="K261" s="11"/>
      <c r="L261" s="2"/>
    </row>
    <row r="262" spans="1:12" s="28" customFormat="1" ht="31.5" customHeight="1">
      <c r="A262" s="11"/>
      <c r="B262" s="48"/>
      <c r="C262" s="57"/>
      <c r="D262" s="11" t="s">
        <v>53</v>
      </c>
      <c r="E262" s="10">
        <v>1030</v>
      </c>
      <c r="F262" s="11">
        <v>265</v>
      </c>
      <c r="G262" s="11">
        <v>3200</v>
      </c>
      <c r="H262" s="11" t="s">
        <v>20</v>
      </c>
      <c r="I262" s="10" t="s">
        <v>18</v>
      </c>
      <c r="J262" s="32">
        <f>(E262+G262*2)*F262/1000000</f>
        <v>1.96895</v>
      </c>
      <c r="K262" s="11"/>
      <c r="L262" s="2"/>
    </row>
    <row r="263" spans="1:12" s="28" customFormat="1" ht="31.5" customHeight="1">
      <c r="A263" s="11"/>
      <c r="B263" s="48"/>
      <c r="C263" s="57"/>
      <c r="D263" s="11" t="s">
        <v>65</v>
      </c>
      <c r="E263" s="10">
        <f>E262-160</f>
        <v>870</v>
      </c>
      <c r="F263" s="11">
        <v>50</v>
      </c>
      <c r="G263" s="11">
        <v>2500</v>
      </c>
      <c r="H263" s="11" t="s">
        <v>35</v>
      </c>
      <c r="I263" s="10" t="s">
        <v>18</v>
      </c>
      <c r="J263" s="32">
        <f t="shared" ref="J263:J265" si="45">E263*G263/1000000</f>
        <v>2.1749999999999998</v>
      </c>
      <c r="K263" s="11" t="s">
        <v>67</v>
      </c>
      <c r="L263" s="2"/>
    </row>
    <row r="264" spans="1:12" s="28" customFormat="1" ht="31.5" customHeight="1">
      <c r="A264" s="11"/>
      <c r="B264" s="48"/>
      <c r="C264" s="57"/>
      <c r="D264" s="11" t="s">
        <v>59</v>
      </c>
      <c r="E264" s="10">
        <v>870</v>
      </c>
      <c r="F264" s="11">
        <v>32</v>
      </c>
      <c r="G264" s="11">
        <v>600</v>
      </c>
      <c r="H264" s="11" t="s">
        <v>35</v>
      </c>
      <c r="I264" s="10" t="s">
        <v>18</v>
      </c>
      <c r="J264" s="32">
        <f t="shared" si="45"/>
        <v>0.52200000000000002</v>
      </c>
      <c r="K264" s="11"/>
      <c r="L264" s="2"/>
    </row>
    <row r="265" spans="1:12" s="28" customFormat="1" ht="31.5" customHeight="1">
      <c r="A265" s="11"/>
      <c r="B265" s="48"/>
      <c r="C265" s="57"/>
      <c r="D265" s="11" t="s">
        <v>59</v>
      </c>
      <c r="E265" s="10">
        <v>870</v>
      </c>
      <c r="F265" s="11">
        <v>32</v>
      </c>
      <c r="G265" s="11">
        <v>600</v>
      </c>
      <c r="H265" s="11" t="s">
        <v>35</v>
      </c>
      <c r="I265" s="10" t="s">
        <v>18</v>
      </c>
      <c r="J265" s="32">
        <f t="shared" si="45"/>
        <v>0.52200000000000002</v>
      </c>
      <c r="K265" s="11"/>
      <c r="L265" s="2"/>
    </row>
    <row r="266" spans="1:12" s="28" customFormat="1" ht="31.5" customHeight="1">
      <c r="A266" s="11"/>
      <c r="B266" s="48"/>
      <c r="C266" s="57"/>
      <c r="D266" s="11" t="s">
        <v>22</v>
      </c>
      <c r="E266" s="10"/>
      <c r="F266" s="11"/>
      <c r="G266" s="11">
        <v>5</v>
      </c>
      <c r="H266" s="11" t="s">
        <v>23</v>
      </c>
      <c r="I266" s="10" t="s">
        <v>24</v>
      </c>
      <c r="J266" s="32">
        <v>7</v>
      </c>
      <c r="K266" s="11"/>
      <c r="L266" s="2"/>
    </row>
    <row r="267" spans="1:12" s="28" customFormat="1" ht="31.5" customHeight="1">
      <c r="A267" s="11"/>
      <c r="B267" s="48"/>
      <c r="C267" s="57"/>
      <c r="D267" s="11" t="s">
        <v>149</v>
      </c>
      <c r="E267" s="10"/>
      <c r="F267" s="11">
        <v>36</v>
      </c>
      <c r="G267" s="11">
        <v>80</v>
      </c>
      <c r="H267" s="11" t="s">
        <v>39</v>
      </c>
      <c r="I267" s="10" t="s">
        <v>18</v>
      </c>
      <c r="J267" s="32">
        <f>(E268*2+G268*4)/1000</f>
        <v>14.86</v>
      </c>
      <c r="K267" s="11"/>
      <c r="L267" s="2"/>
    </row>
    <row r="268" spans="1:12" s="28" customFormat="1" ht="31.5" customHeight="1">
      <c r="A268" s="11"/>
      <c r="B268" s="48"/>
      <c r="C268" s="57"/>
      <c r="D268" s="11" t="s">
        <v>53</v>
      </c>
      <c r="E268" s="10">
        <v>1030</v>
      </c>
      <c r="F268" s="11">
        <v>230</v>
      </c>
      <c r="G268" s="11">
        <v>3200</v>
      </c>
      <c r="H268" s="11" t="s">
        <v>20</v>
      </c>
      <c r="I268" s="10" t="s">
        <v>18</v>
      </c>
      <c r="J268" s="32">
        <f>(E268+G268*2)*F268/1000000</f>
        <v>1.7089000000000001</v>
      </c>
      <c r="K268" s="11"/>
      <c r="L268" s="2"/>
    </row>
    <row r="269" spans="1:12" s="28" customFormat="1" ht="31.5" customHeight="1">
      <c r="A269" s="11"/>
      <c r="B269" s="48"/>
      <c r="C269" s="57"/>
      <c r="D269" s="11" t="s">
        <v>65</v>
      </c>
      <c r="E269" s="10">
        <f>E268-160</f>
        <v>870</v>
      </c>
      <c r="F269" s="11">
        <v>50</v>
      </c>
      <c r="G269" s="11">
        <v>2500</v>
      </c>
      <c r="H269" s="11" t="s">
        <v>35</v>
      </c>
      <c r="I269" s="10" t="s">
        <v>18</v>
      </c>
      <c r="J269" s="32">
        <f t="shared" ref="J269:J271" si="46">E269*G269/1000000</f>
        <v>2.1749999999999998</v>
      </c>
      <c r="K269" s="11"/>
      <c r="L269" s="2"/>
    </row>
    <row r="270" spans="1:12" s="28" customFormat="1" ht="31.5" customHeight="1">
      <c r="A270" s="11"/>
      <c r="B270" s="48"/>
      <c r="C270" s="57"/>
      <c r="D270" s="11" t="s">
        <v>59</v>
      </c>
      <c r="E270" s="10">
        <v>870</v>
      </c>
      <c r="F270" s="11">
        <v>32</v>
      </c>
      <c r="G270" s="11">
        <v>600</v>
      </c>
      <c r="H270" s="11" t="s">
        <v>35</v>
      </c>
      <c r="I270" s="10" t="s">
        <v>18</v>
      </c>
      <c r="J270" s="32">
        <f t="shared" si="46"/>
        <v>0.52200000000000002</v>
      </c>
      <c r="K270" s="11" t="s">
        <v>67</v>
      </c>
      <c r="L270" s="2"/>
    </row>
    <row r="271" spans="1:12" s="28" customFormat="1" ht="31.5" customHeight="1">
      <c r="A271" s="11"/>
      <c r="B271" s="48"/>
      <c r="C271" s="57"/>
      <c r="D271" s="11" t="s">
        <v>59</v>
      </c>
      <c r="E271" s="10">
        <v>870</v>
      </c>
      <c r="F271" s="11">
        <v>32</v>
      </c>
      <c r="G271" s="11">
        <v>600</v>
      </c>
      <c r="H271" s="11" t="s">
        <v>35</v>
      </c>
      <c r="I271" s="10" t="s">
        <v>18</v>
      </c>
      <c r="J271" s="32">
        <f t="shared" si="46"/>
        <v>0.52200000000000002</v>
      </c>
      <c r="K271" s="11"/>
      <c r="L271" s="2"/>
    </row>
    <row r="272" spans="1:12" s="28" customFormat="1" ht="31.5" customHeight="1">
      <c r="A272" s="11"/>
      <c r="B272" s="48"/>
      <c r="C272" s="57"/>
      <c r="D272" s="11" t="s">
        <v>22</v>
      </c>
      <c r="E272" s="10"/>
      <c r="F272" s="11"/>
      <c r="G272" s="11">
        <v>5</v>
      </c>
      <c r="H272" s="11" t="s">
        <v>23</v>
      </c>
      <c r="I272" s="10" t="s">
        <v>24</v>
      </c>
      <c r="J272" s="32">
        <v>7</v>
      </c>
      <c r="K272" s="11"/>
      <c r="L272" s="2"/>
    </row>
    <row r="273" spans="1:12" s="28" customFormat="1" ht="31.5" customHeight="1">
      <c r="A273" s="11"/>
      <c r="B273" s="48"/>
      <c r="C273" s="57"/>
      <c r="D273" s="11" t="s">
        <v>150</v>
      </c>
      <c r="E273" s="10">
        <v>3220</v>
      </c>
      <c r="F273" s="11">
        <v>32</v>
      </c>
      <c r="G273" s="11">
        <v>3200</v>
      </c>
      <c r="H273" s="11" t="s">
        <v>143</v>
      </c>
      <c r="I273" s="10" t="s">
        <v>18</v>
      </c>
      <c r="J273" s="32">
        <f t="shared" ref="J273" si="47">E273*G273/1000000</f>
        <v>10.304</v>
      </c>
      <c r="K273" s="11" t="s">
        <v>113</v>
      </c>
      <c r="L273" s="2"/>
    </row>
    <row r="274" spans="1:12" s="28" customFormat="1" ht="31.5" customHeight="1">
      <c r="A274" s="11"/>
      <c r="B274" s="48"/>
      <c r="C274" s="57"/>
      <c r="D274" s="11" t="s">
        <v>43</v>
      </c>
      <c r="E274" s="10"/>
      <c r="F274" s="11"/>
      <c r="G274" s="11"/>
      <c r="H274" s="11"/>
      <c r="I274" s="10" t="s">
        <v>18</v>
      </c>
      <c r="J274" s="32">
        <f>J273+J276</f>
        <v>12.928000000000001</v>
      </c>
      <c r="K274" s="11"/>
      <c r="L274" s="2"/>
    </row>
    <row r="275" spans="1:12" s="28" customFormat="1" ht="31.5" customHeight="1">
      <c r="A275" s="11"/>
      <c r="B275" s="48"/>
      <c r="C275" s="57"/>
      <c r="D275" s="11" t="s">
        <v>22</v>
      </c>
      <c r="E275" s="10"/>
      <c r="F275" s="11"/>
      <c r="G275" s="11">
        <v>5</v>
      </c>
      <c r="H275" s="11" t="s">
        <v>23</v>
      </c>
      <c r="I275" s="10" t="s">
        <v>24</v>
      </c>
      <c r="J275" s="32">
        <f>14+10</f>
        <v>24</v>
      </c>
      <c r="K275" s="11"/>
      <c r="L275" s="2"/>
    </row>
    <row r="276" spans="1:12" s="28" customFormat="1" ht="31.5" customHeight="1">
      <c r="A276" s="11"/>
      <c r="B276" s="48"/>
      <c r="C276" s="57"/>
      <c r="D276" s="11" t="s">
        <v>42</v>
      </c>
      <c r="E276" s="10">
        <f>410*2</f>
        <v>820</v>
      </c>
      <c r="F276" s="11">
        <v>32</v>
      </c>
      <c r="G276" s="11">
        <v>3200</v>
      </c>
      <c r="H276" s="11" t="s">
        <v>143</v>
      </c>
      <c r="I276" s="10" t="s">
        <v>18</v>
      </c>
      <c r="J276" s="32">
        <f t="shared" ref="J276" si="48">E276*G276/1000000</f>
        <v>2.6240000000000001</v>
      </c>
      <c r="K276" s="11"/>
      <c r="L276" s="2"/>
    </row>
    <row r="277" spans="1:12" s="28" customFormat="1" ht="31.5" customHeight="1">
      <c r="A277" s="11"/>
      <c r="B277" s="48"/>
      <c r="C277" s="57"/>
      <c r="D277" s="11" t="s">
        <v>43</v>
      </c>
      <c r="E277" s="10"/>
      <c r="F277" s="11"/>
      <c r="G277" s="11"/>
      <c r="H277" s="11"/>
      <c r="I277" s="10" t="s">
        <v>18</v>
      </c>
      <c r="J277" s="32">
        <f>J276+J279</f>
        <v>7.8175999999999997</v>
      </c>
      <c r="K277" s="11"/>
      <c r="L277" s="2"/>
    </row>
    <row r="278" spans="1:12" s="28" customFormat="1" ht="31.5" customHeight="1">
      <c r="A278" s="11"/>
      <c r="B278" s="48"/>
      <c r="C278" s="57"/>
      <c r="D278" s="11" t="s">
        <v>22</v>
      </c>
      <c r="E278" s="10"/>
      <c r="F278" s="11"/>
      <c r="G278" s="11">
        <v>5</v>
      </c>
      <c r="H278" s="11" t="s">
        <v>23</v>
      </c>
      <c r="I278" s="10" t="s">
        <v>24</v>
      </c>
      <c r="J278" s="32">
        <v>11</v>
      </c>
      <c r="K278" s="11"/>
      <c r="L278" s="2"/>
    </row>
    <row r="279" spans="1:12" s="28" customFormat="1" ht="31.5" customHeight="1">
      <c r="A279" s="11"/>
      <c r="B279" s="48"/>
      <c r="C279" s="57"/>
      <c r="D279" s="11" t="s">
        <v>42</v>
      </c>
      <c r="E279" s="10">
        <f>2443-820</f>
        <v>1623</v>
      </c>
      <c r="F279" s="11">
        <v>32</v>
      </c>
      <c r="G279" s="11">
        <v>3200</v>
      </c>
      <c r="H279" s="11" t="s">
        <v>143</v>
      </c>
      <c r="I279" s="10" t="s">
        <v>18</v>
      </c>
      <c r="J279" s="32">
        <f t="shared" ref="J279" si="49">E279*G279/1000000</f>
        <v>5.1936</v>
      </c>
      <c r="K279" s="11" t="s">
        <v>91</v>
      </c>
      <c r="L279" s="2"/>
    </row>
    <row r="280" spans="1:12" s="28" customFormat="1" ht="31.5" customHeight="1">
      <c r="A280" s="11"/>
      <c r="B280" s="48"/>
      <c r="C280" s="57"/>
      <c r="D280" s="11" t="s">
        <v>43</v>
      </c>
      <c r="E280" s="10"/>
      <c r="F280" s="11"/>
      <c r="G280" s="11"/>
      <c r="H280" s="11"/>
      <c r="I280" s="10" t="s">
        <v>18</v>
      </c>
      <c r="J280" s="32">
        <f>J279+J282</f>
        <v>6.1354499999999996</v>
      </c>
      <c r="K280" s="11"/>
      <c r="L280" s="2"/>
    </row>
    <row r="281" spans="1:12" s="28" customFormat="1" ht="31.5" customHeight="1">
      <c r="A281" s="11"/>
      <c r="B281" s="48"/>
      <c r="C281" s="57"/>
      <c r="D281" s="11" t="s">
        <v>151</v>
      </c>
      <c r="E281" s="10">
        <f>702+663</f>
        <v>1365</v>
      </c>
      <c r="F281" s="11">
        <v>350</v>
      </c>
      <c r="G281" s="11">
        <v>3200</v>
      </c>
      <c r="H281" s="11" t="s">
        <v>20</v>
      </c>
      <c r="I281" s="10" t="s">
        <v>18</v>
      </c>
      <c r="J281" s="32">
        <f t="shared" ref="J281:J282" si="50">E281*G281/1000000</f>
        <v>4.3680000000000003</v>
      </c>
      <c r="K281" s="11"/>
      <c r="L281" s="2"/>
    </row>
    <row r="282" spans="1:12" s="28" customFormat="1" ht="31.5" customHeight="1">
      <c r="A282" s="11"/>
      <c r="B282" s="48"/>
      <c r="C282" s="57"/>
      <c r="D282" s="11" t="s">
        <v>89</v>
      </c>
      <c r="E282" s="10">
        <v>1365</v>
      </c>
      <c r="F282" s="11">
        <v>22</v>
      </c>
      <c r="G282" s="11">
        <v>690</v>
      </c>
      <c r="H282" s="11" t="s">
        <v>35</v>
      </c>
      <c r="I282" s="10" t="s">
        <v>18</v>
      </c>
      <c r="J282" s="32">
        <f t="shared" si="50"/>
        <v>0.94184999999999997</v>
      </c>
      <c r="K282" s="11"/>
      <c r="L282" s="2"/>
    </row>
    <row r="283" spans="1:12" s="28" customFormat="1" ht="31.5" customHeight="1">
      <c r="A283" s="11"/>
      <c r="B283" s="48"/>
      <c r="C283" s="57"/>
      <c r="D283" s="11" t="s">
        <v>22</v>
      </c>
      <c r="E283" s="10"/>
      <c r="F283" s="11"/>
      <c r="G283" s="11">
        <v>5</v>
      </c>
      <c r="H283" s="11" t="s">
        <v>23</v>
      </c>
      <c r="I283" s="10" t="s">
        <v>24</v>
      </c>
      <c r="J283" s="32">
        <v>2.88</v>
      </c>
      <c r="K283" s="11"/>
      <c r="L283" s="2"/>
    </row>
    <row r="284" spans="1:12" s="28" customFormat="1" ht="31.5" customHeight="1">
      <c r="A284" s="11"/>
      <c r="B284" s="48"/>
      <c r="C284" s="57"/>
      <c r="D284" s="11" t="s">
        <v>152</v>
      </c>
      <c r="E284" s="10"/>
      <c r="F284" s="11">
        <v>36</v>
      </c>
      <c r="G284" s="11">
        <v>80</v>
      </c>
      <c r="H284" s="11" t="s">
        <v>39</v>
      </c>
      <c r="I284" s="10" t="s">
        <v>18</v>
      </c>
      <c r="J284" s="32">
        <f>(E285*2+G285*4)/1000</f>
        <v>17.86</v>
      </c>
      <c r="K284" s="11"/>
      <c r="L284" s="2"/>
    </row>
    <row r="285" spans="1:12" s="28" customFormat="1" ht="31.5" customHeight="1">
      <c r="A285" s="11"/>
      <c r="B285" s="48"/>
      <c r="C285" s="57"/>
      <c r="D285" s="11" t="s">
        <v>53</v>
      </c>
      <c r="E285" s="10">
        <v>2530</v>
      </c>
      <c r="F285" s="11">
        <v>500</v>
      </c>
      <c r="G285" s="11">
        <v>3200</v>
      </c>
      <c r="H285" s="11" t="s">
        <v>20</v>
      </c>
      <c r="I285" s="10" t="s">
        <v>18</v>
      </c>
      <c r="J285" s="32">
        <f>(E285+G285*2)*F285/1000000</f>
        <v>4.4649999999999999</v>
      </c>
      <c r="K285" s="11"/>
      <c r="L285" s="2"/>
    </row>
    <row r="286" spans="1:12" s="28" customFormat="1" ht="31.5" customHeight="1">
      <c r="A286" s="11"/>
      <c r="B286" s="48"/>
      <c r="C286" s="57"/>
      <c r="D286" s="11" t="s">
        <v>65</v>
      </c>
      <c r="E286" s="10">
        <f>E285-160</f>
        <v>2370</v>
      </c>
      <c r="F286" s="11">
        <v>50</v>
      </c>
      <c r="G286" s="11">
        <v>2500</v>
      </c>
      <c r="H286" s="11" t="s">
        <v>153</v>
      </c>
      <c r="I286" s="10" t="s">
        <v>18</v>
      </c>
      <c r="J286" s="32">
        <f t="shared" ref="J286:J288" si="51">E286*G286/1000000</f>
        <v>5.9249999999999998</v>
      </c>
      <c r="K286" s="11"/>
      <c r="L286" s="2"/>
    </row>
    <row r="287" spans="1:12" s="28" customFormat="1" ht="31.5" customHeight="1">
      <c r="A287" s="11"/>
      <c r="B287" s="48"/>
      <c r="C287" s="57"/>
      <c r="D287" s="11" t="s">
        <v>59</v>
      </c>
      <c r="E287" s="10">
        <v>2370</v>
      </c>
      <c r="F287" s="11">
        <v>32</v>
      </c>
      <c r="G287" s="11">
        <v>700</v>
      </c>
      <c r="H287" s="11" t="s">
        <v>35</v>
      </c>
      <c r="I287" s="10" t="s">
        <v>18</v>
      </c>
      <c r="J287" s="32">
        <f t="shared" si="51"/>
        <v>1.659</v>
      </c>
      <c r="K287" s="11"/>
      <c r="L287" s="2"/>
    </row>
    <row r="288" spans="1:12" s="28" customFormat="1" ht="31.5" customHeight="1">
      <c r="A288" s="11"/>
      <c r="B288" s="48"/>
      <c r="C288" s="57"/>
      <c r="D288" s="11" t="s">
        <v>59</v>
      </c>
      <c r="E288" s="10">
        <v>2370</v>
      </c>
      <c r="F288" s="11">
        <v>32</v>
      </c>
      <c r="G288" s="11">
        <v>700</v>
      </c>
      <c r="H288" s="11" t="s">
        <v>35</v>
      </c>
      <c r="I288" s="10" t="s">
        <v>18</v>
      </c>
      <c r="J288" s="32">
        <f t="shared" si="51"/>
        <v>1.659</v>
      </c>
      <c r="K288" s="11"/>
      <c r="L288" s="2"/>
    </row>
    <row r="289" spans="1:12" s="28" customFormat="1" ht="31.5" customHeight="1">
      <c r="A289" s="11"/>
      <c r="B289" s="48"/>
      <c r="C289" s="58"/>
      <c r="D289" s="11" t="s">
        <v>22</v>
      </c>
      <c r="E289" s="10"/>
      <c r="F289" s="11"/>
      <c r="G289" s="11">
        <v>5</v>
      </c>
      <c r="H289" s="11" t="s">
        <v>23</v>
      </c>
      <c r="I289" s="10" t="s">
        <v>24</v>
      </c>
      <c r="J289" s="32">
        <v>7</v>
      </c>
      <c r="K289" s="11"/>
      <c r="L289" s="2"/>
    </row>
    <row r="290" spans="1:12" s="28" customFormat="1" ht="31.5" customHeight="1">
      <c r="A290" s="11"/>
      <c r="B290" s="48"/>
      <c r="C290" s="56" t="s">
        <v>47</v>
      </c>
      <c r="D290" s="11" t="s">
        <v>42</v>
      </c>
      <c r="E290" s="10">
        <f>400+400+355+355</f>
        <v>1510</v>
      </c>
      <c r="F290" s="11">
        <v>32</v>
      </c>
      <c r="G290" s="11">
        <v>3200</v>
      </c>
      <c r="H290" s="11" t="s">
        <v>20</v>
      </c>
      <c r="I290" s="10" t="s">
        <v>18</v>
      </c>
      <c r="J290" s="32">
        <f t="shared" ref="J290:J291" si="52">E290*G290/1000000</f>
        <v>4.8319999999999999</v>
      </c>
      <c r="K290" s="11"/>
      <c r="L290" s="2"/>
    </row>
    <row r="291" spans="1:12" s="28" customFormat="1" ht="31.5" customHeight="1">
      <c r="A291" s="11"/>
      <c r="B291" s="48"/>
      <c r="C291" s="57"/>
      <c r="D291" s="11" t="s">
        <v>42</v>
      </c>
      <c r="E291" s="10">
        <f>870+1740</f>
        <v>2610</v>
      </c>
      <c r="F291" s="11">
        <v>32</v>
      </c>
      <c r="G291" s="11">
        <v>3200</v>
      </c>
      <c r="H291" s="11" t="s">
        <v>143</v>
      </c>
      <c r="I291" s="10" t="s">
        <v>18</v>
      </c>
      <c r="J291" s="32">
        <f t="shared" si="52"/>
        <v>8.3520000000000003</v>
      </c>
      <c r="K291" s="11" t="s">
        <v>113</v>
      </c>
      <c r="L291" s="2"/>
    </row>
    <row r="292" spans="1:12" s="28" customFormat="1" ht="31.5" customHeight="1">
      <c r="A292" s="11"/>
      <c r="B292" s="48"/>
      <c r="C292" s="57"/>
      <c r="D292" s="11" t="s">
        <v>43</v>
      </c>
      <c r="E292" s="10"/>
      <c r="F292" s="11"/>
      <c r="G292" s="11"/>
      <c r="H292" s="11"/>
      <c r="I292" s="10" t="s">
        <v>18</v>
      </c>
      <c r="J292" s="32">
        <f>J291+J290</f>
        <v>13.183999999999999</v>
      </c>
      <c r="K292" s="11"/>
      <c r="L292" s="2"/>
    </row>
    <row r="293" spans="1:12" s="28" customFormat="1" ht="31.5" customHeight="1">
      <c r="A293" s="11"/>
      <c r="B293" s="48"/>
      <c r="C293" s="57"/>
      <c r="D293" s="11" t="s">
        <v>22</v>
      </c>
      <c r="E293" s="10"/>
      <c r="F293" s="11"/>
      <c r="G293" s="11">
        <v>5</v>
      </c>
      <c r="H293" s="11" t="s">
        <v>23</v>
      </c>
      <c r="I293" s="10" t="s">
        <v>24</v>
      </c>
      <c r="J293" s="32">
        <f>18.72+9.8</f>
        <v>28.52</v>
      </c>
      <c r="K293" s="11"/>
      <c r="L293" s="2"/>
    </row>
    <row r="294" spans="1:12" s="28" customFormat="1" ht="31.5" customHeight="1">
      <c r="A294" s="11"/>
      <c r="B294" s="48"/>
      <c r="C294" s="57"/>
      <c r="D294" s="11" t="s">
        <v>154</v>
      </c>
      <c r="E294" s="10"/>
      <c r="F294" s="11">
        <v>36</v>
      </c>
      <c r="G294" s="11">
        <v>80</v>
      </c>
      <c r="H294" s="11" t="s">
        <v>39</v>
      </c>
      <c r="I294" s="10" t="s">
        <v>18</v>
      </c>
      <c r="J294" s="32">
        <f>(E295*2+G295*4)/1000</f>
        <v>16.61</v>
      </c>
      <c r="K294" s="11"/>
      <c r="L294" s="2"/>
    </row>
    <row r="295" spans="1:12" s="28" customFormat="1" ht="31.5" customHeight="1">
      <c r="A295" s="11"/>
      <c r="B295" s="48"/>
      <c r="C295" s="57"/>
      <c r="D295" s="11" t="s">
        <v>53</v>
      </c>
      <c r="E295" s="10">
        <v>1905</v>
      </c>
      <c r="F295" s="11">
        <v>315</v>
      </c>
      <c r="G295" s="11">
        <v>3200</v>
      </c>
      <c r="H295" s="11" t="s">
        <v>20</v>
      </c>
      <c r="I295" s="10" t="s">
        <v>18</v>
      </c>
      <c r="J295" s="32">
        <f>(E295+G295*2)*F295/1000000</f>
        <v>2.6160749999999999</v>
      </c>
      <c r="K295" s="11"/>
      <c r="L295" s="2"/>
    </row>
    <row r="296" spans="1:12" s="28" customFormat="1" ht="31.5" customHeight="1">
      <c r="A296" s="11"/>
      <c r="B296" s="48"/>
      <c r="C296" s="57"/>
      <c r="D296" s="11" t="s">
        <v>155</v>
      </c>
      <c r="E296" s="10"/>
      <c r="F296" s="11">
        <v>36</v>
      </c>
      <c r="G296" s="11">
        <v>80</v>
      </c>
      <c r="H296" s="11" t="s">
        <v>39</v>
      </c>
      <c r="I296" s="10" t="s">
        <v>18</v>
      </c>
      <c r="J296" s="32">
        <f>(E297*2+G297*4)/1000</f>
        <v>14.92</v>
      </c>
      <c r="K296" s="11"/>
      <c r="L296" s="2"/>
    </row>
    <row r="297" spans="1:12" s="28" customFormat="1" ht="31.5" customHeight="1">
      <c r="A297" s="11"/>
      <c r="B297" s="48"/>
      <c r="C297" s="57"/>
      <c r="D297" s="11" t="s">
        <v>53</v>
      </c>
      <c r="E297" s="10">
        <v>1060</v>
      </c>
      <c r="F297" s="11">
        <v>230</v>
      </c>
      <c r="G297" s="11">
        <v>3200</v>
      </c>
      <c r="H297" s="11" t="s">
        <v>20</v>
      </c>
      <c r="I297" s="10" t="s">
        <v>18</v>
      </c>
      <c r="J297" s="32">
        <f>(E297+G297*2)*F297/1000000</f>
        <v>1.7158</v>
      </c>
      <c r="K297" s="11"/>
      <c r="L297" s="2"/>
    </row>
    <row r="298" spans="1:12" s="28" customFormat="1" ht="31.5" customHeight="1">
      <c r="A298" s="11"/>
      <c r="B298" s="49"/>
      <c r="C298" s="58"/>
      <c r="D298" s="11" t="s">
        <v>59</v>
      </c>
      <c r="E298" s="10">
        <v>2370</v>
      </c>
      <c r="F298" s="11">
        <v>32</v>
      </c>
      <c r="G298" s="11">
        <v>600</v>
      </c>
      <c r="H298" s="11" t="s">
        <v>35</v>
      </c>
      <c r="I298" s="10" t="s">
        <v>18</v>
      </c>
      <c r="J298" s="32">
        <f>E298*G298/1000000*2</f>
        <v>2.8439999999999999</v>
      </c>
      <c r="K298" s="11"/>
      <c r="L298" s="2"/>
    </row>
    <row r="299" spans="1:12" s="28" customFormat="1" ht="31.5" customHeight="1">
      <c r="A299" s="11"/>
      <c r="B299" s="47">
        <v>1.0000000000000001E-9</v>
      </c>
      <c r="C299" s="56" t="s">
        <v>156</v>
      </c>
      <c r="D299" s="11" t="s">
        <v>42</v>
      </c>
      <c r="E299" s="10">
        <v>1340</v>
      </c>
      <c r="F299" s="11">
        <v>32</v>
      </c>
      <c r="G299" s="11">
        <v>3200</v>
      </c>
      <c r="H299" s="11" t="s">
        <v>143</v>
      </c>
      <c r="I299" s="10" t="s">
        <v>18</v>
      </c>
      <c r="J299" s="32">
        <f t="shared" ref="J299" si="53">E299*G299/1000000</f>
        <v>4.2880000000000003</v>
      </c>
      <c r="K299" s="11" t="s">
        <v>113</v>
      </c>
      <c r="L299" s="2"/>
    </row>
    <row r="300" spans="1:12" s="28" customFormat="1" ht="31.5" customHeight="1">
      <c r="A300" s="11"/>
      <c r="B300" s="48"/>
      <c r="C300" s="57"/>
      <c r="D300" s="11" t="s">
        <v>43</v>
      </c>
      <c r="E300" s="10"/>
      <c r="F300" s="11"/>
      <c r="G300" s="11"/>
      <c r="H300" s="11"/>
      <c r="I300" s="10" t="s">
        <v>18</v>
      </c>
      <c r="J300" s="32">
        <f>J299</f>
        <v>4.2880000000000003</v>
      </c>
      <c r="K300" s="11"/>
      <c r="L300" s="2"/>
    </row>
    <row r="301" spans="1:12" s="28" customFormat="1" ht="31.5" customHeight="1">
      <c r="A301" s="11"/>
      <c r="B301" s="49"/>
      <c r="C301" s="58"/>
      <c r="D301" s="11" t="s">
        <v>22</v>
      </c>
      <c r="E301" s="10"/>
      <c r="F301" s="11"/>
      <c r="G301" s="11">
        <v>5</v>
      </c>
      <c r="H301" s="11" t="s">
        <v>23</v>
      </c>
      <c r="I301" s="10" t="s">
        <v>24</v>
      </c>
      <c r="J301" s="32">
        <f>5.2+4</f>
        <v>9.1999999999999993</v>
      </c>
      <c r="K301" s="11"/>
      <c r="L301" s="2"/>
    </row>
    <row r="302" spans="1:12" s="28" customFormat="1" ht="31.5" customHeight="1">
      <c r="A302" s="41" t="s">
        <v>157</v>
      </c>
      <c r="B302" s="42"/>
      <c r="C302" s="10"/>
      <c r="D302" s="11"/>
      <c r="E302" s="10"/>
      <c r="F302" s="11"/>
      <c r="G302" s="11"/>
      <c r="H302" s="11"/>
      <c r="I302" s="10"/>
      <c r="J302" s="32"/>
      <c r="K302" s="11"/>
      <c r="L302" s="2"/>
    </row>
    <row r="303" spans="1:12" s="28" customFormat="1" ht="31.5" customHeight="1">
      <c r="A303" s="11"/>
      <c r="B303" s="47">
        <v>1E-10</v>
      </c>
      <c r="C303" s="56" t="s">
        <v>15</v>
      </c>
      <c r="D303" s="11" t="s">
        <v>42</v>
      </c>
      <c r="E303" s="10">
        <f>525+525</f>
        <v>1050</v>
      </c>
      <c r="F303" s="11">
        <v>32</v>
      </c>
      <c r="G303" s="11">
        <v>3100</v>
      </c>
      <c r="H303" s="11" t="s">
        <v>143</v>
      </c>
      <c r="I303" s="10" t="s">
        <v>18</v>
      </c>
      <c r="J303" s="32">
        <f t="shared" ref="J303" si="54">E303*G303/1000000</f>
        <v>3.2549999999999999</v>
      </c>
      <c r="K303" s="11" t="s">
        <v>113</v>
      </c>
      <c r="L303" s="2"/>
    </row>
    <row r="304" spans="1:12" s="28" customFormat="1" ht="31.5" customHeight="1">
      <c r="A304" s="11"/>
      <c r="B304" s="48"/>
      <c r="C304" s="57"/>
      <c r="D304" s="11" t="s">
        <v>43</v>
      </c>
      <c r="E304" s="10"/>
      <c r="F304" s="11"/>
      <c r="G304" s="11"/>
      <c r="H304" s="11"/>
      <c r="I304" s="10" t="s">
        <v>18</v>
      </c>
      <c r="J304" s="32">
        <f>J303</f>
        <v>3.2549999999999999</v>
      </c>
      <c r="K304" s="11"/>
      <c r="L304" s="2"/>
    </row>
    <row r="305" spans="1:12" s="28" customFormat="1" ht="31.5" customHeight="1">
      <c r="A305" s="11"/>
      <c r="B305" s="48"/>
      <c r="C305" s="57"/>
      <c r="D305" s="11" t="s">
        <v>22</v>
      </c>
      <c r="E305" s="10"/>
      <c r="F305" s="11"/>
      <c r="G305" s="11">
        <v>5</v>
      </c>
      <c r="H305" s="11" t="s">
        <v>23</v>
      </c>
      <c r="I305" s="10" t="s">
        <v>24</v>
      </c>
      <c r="J305" s="32">
        <v>9</v>
      </c>
      <c r="K305" s="11"/>
      <c r="L305" s="2"/>
    </row>
    <row r="306" spans="1:12" s="28" customFormat="1" ht="31.5" customHeight="1">
      <c r="A306" s="21"/>
      <c r="B306" s="48"/>
      <c r="C306" s="58"/>
      <c r="D306" s="11" t="s">
        <v>119</v>
      </c>
      <c r="E306" s="10"/>
      <c r="F306" s="11">
        <v>21</v>
      </c>
      <c r="G306" s="11">
        <v>100</v>
      </c>
      <c r="H306" s="11" t="s">
        <v>35</v>
      </c>
      <c r="I306" s="10" t="s">
        <v>24</v>
      </c>
      <c r="J306" s="32">
        <v>1.05</v>
      </c>
      <c r="K306" s="11"/>
      <c r="L306" s="2"/>
    </row>
    <row r="307" spans="1:12" s="28" customFormat="1" ht="31.5" customHeight="1">
      <c r="A307" s="11"/>
      <c r="B307" s="48"/>
      <c r="C307" s="56" t="s">
        <v>47</v>
      </c>
      <c r="D307" s="11" t="s">
        <v>42</v>
      </c>
      <c r="E307" s="10">
        <f>225+75+730+75+1820+75+830</f>
        <v>3830</v>
      </c>
      <c r="F307" s="11">
        <v>32</v>
      </c>
      <c r="G307" s="11">
        <v>3100</v>
      </c>
      <c r="H307" s="11" t="s">
        <v>143</v>
      </c>
      <c r="I307" s="10" t="s">
        <v>18</v>
      </c>
      <c r="J307" s="32">
        <f t="shared" ref="J307" si="55">E307*G307/1000000</f>
        <v>11.872999999999999</v>
      </c>
      <c r="K307" s="11" t="s">
        <v>158</v>
      </c>
      <c r="L307" s="2"/>
    </row>
    <row r="308" spans="1:12" s="28" customFormat="1" ht="31.5" customHeight="1">
      <c r="A308" s="11"/>
      <c r="B308" s="48"/>
      <c r="C308" s="57"/>
      <c r="D308" s="11" t="s">
        <v>43</v>
      </c>
      <c r="E308" s="10"/>
      <c r="F308" s="11"/>
      <c r="G308" s="11"/>
      <c r="H308" s="11"/>
      <c r="I308" s="10" t="s">
        <v>18</v>
      </c>
      <c r="J308" s="32">
        <f>J307</f>
        <v>11.872999999999999</v>
      </c>
      <c r="K308" s="11"/>
      <c r="L308" s="2"/>
    </row>
    <row r="309" spans="1:12" s="28" customFormat="1" ht="31.5" customHeight="1">
      <c r="A309" s="11"/>
      <c r="B309" s="48"/>
      <c r="C309" s="57"/>
      <c r="D309" s="11" t="s">
        <v>22</v>
      </c>
      <c r="E309" s="10"/>
      <c r="F309" s="11"/>
      <c r="G309" s="11">
        <v>5</v>
      </c>
      <c r="H309" s="11" t="s">
        <v>23</v>
      </c>
      <c r="I309" s="10" t="s">
        <v>24</v>
      </c>
      <c r="J309" s="32">
        <f>3.5+11</f>
        <v>14.5</v>
      </c>
      <c r="K309" s="11"/>
      <c r="L309" s="2"/>
    </row>
    <row r="310" spans="1:12" s="28" customFormat="1" ht="31.5" customHeight="1">
      <c r="A310" s="11"/>
      <c r="B310" s="48"/>
      <c r="C310" s="57"/>
      <c r="D310" s="11" t="s">
        <v>159</v>
      </c>
      <c r="E310" s="10">
        <f>8280-3830</f>
        <v>4450</v>
      </c>
      <c r="F310" s="11">
        <v>32</v>
      </c>
      <c r="G310" s="11">
        <v>3100</v>
      </c>
      <c r="H310" s="11" t="s">
        <v>143</v>
      </c>
      <c r="I310" s="10" t="s">
        <v>18</v>
      </c>
      <c r="J310" s="32">
        <f t="shared" ref="J310" si="56">E310*G310/1000000</f>
        <v>13.795</v>
      </c>
      <c r="K310" s="11" t="s">
        <v>113</v>
      </c>
      <c r="L310" s="2"/>
    </row>
    <row r="311" spans="1:12" s="28" customFormat="1" ht="31.5" customHeight="1">
      <c r="A311" s="11"/>
      <c r="B311" s="48"/>
      <c r="C311" s="57"/>
      <c r="D311" s="11" t="s">
        <v>43</v>
      </c>
      <c r="E311" s="10"/>
      <c r="F311" s="11"/>
      <c r="G311" s="11"/>
      <c r="H311" s="11"/>
      <c r="I311" s="10" t="s">
        <v>18</v>
      </c>
      <c r="J311" s="32">
        <f>J310</f>
        <v>13.795</v>
      </c>
      <c r="K311" s="11"/>
      <c r="L311" s="2"/>
    </row>
    <row r="312" spans="1:12" s="28" customFormat="1" ht="31.5" customHeight="1">
      <c r="A312" s="11"/>
      <c r="B312" s="48"/>
      <c r="C312" s="57"/>
      <c r="D312" s="11" t="s">
        <v>22</v>
      </c>
      <c r="E312" s="10"/>
      <c r="F312" s="11"/>
      <c r="G312" s="11">
        <v>5</v>
      </c>
      <c r="H312" s="11" t="s">
        <v>23</v>
      </c>
      <c r="I312" s="10" t="s">
        <v>24</v>
      </c>
      <c r="J312" s="32">
        <f>24+16</f>
        <v>40</v>
      </c>
      <c r="K312" s="11"/>
      <c r="L312" s="2"/>
    </row>
    <row r="313" spans="1:12" s="28" customFormat="1" ht="31.5" customHeight="1">
      <c r="A313" s="21"/>
      <c r="B313" s="49"/>
      <c r="C313" s="58"/>
      <c r="D313" s="11" t="s">
        <v>119</v>
      </c>
      <c r="E313" s="10"/>
      <c r="F313" s="11">
        <v>21</v>
      </c>
      <c r="G313" s="11">
        <v>100</v>
      </c>
      <c r="H313" s="11" t="s">
        <v>35</v>
      </c>
      <c r="I313" s="10" t="s">
        <v>24</v>
      </c>
      <c r="J313" s="32">
        <v>8.2799999999999994</v>
      </c>
      <c r="K313" s="11"/>
      <c r="L313" s="2"/>
    </row>
    <row r="314" spans="1:12" s="28" customFormat="1" ht="31.5" customHeight="1">
      <c r="A314" s="11"/>
      <c r="B314" s="47">
        <v>9.9999999999999994E-12</v>
      </c>
      <c r="C314" s="56" t="s">
        <v>54</v>
      </c>
      <c r="D314" s="11" t="s">
        <v>159</v>
      </c>
      <c r="E314" s="10">
        <f>4530-1165</f>
        <v>3365</v>
      </c>
      <c r="F314" s="11">
        <v>32</v>
      </c>
      <c r="G314" s="11">
        <v>3100</v>
      </c>
      <c r="H314" s="11" t="s">
        <v>143</v>
      </c>
      <c r="I314" s="10" t="s">
        <v>18</v>
      </c>
      <c r="J314" s="32">
        <f t="shared" ref="J314" si="57">E314*G314/1000000</f>
        <v>10.4315</v>
      </c>
      <c r="K314" s="11" t="s">
        <v>113</v>
      </c>
      <c r="L314" s="2"/>
    </row>
    <row r="315" spans="1:12" s="28" customFormat="1" ht="31.5" customHeight="1">
      <c r="A315" s="11"/>
      <c r="B315" s="48"/>
      <c r="C315" s="57"/>
      <c r="D315" s="11" t="s">
        <v>43</v>
      </c>
      <c r="E315" s="10"/>
      <c r="F315" s="11"/>
      <c r="G315" s="11"/>
      <c r="H315" s="11"/>
      <c r="I315" s="10" t="s">
        <v>18</v>
      </c>
      <c r="J315" s="32">
        <f>J314</f>
        <v>10.4315</v>
      </c>
      <c r="K315" s="11"/>
      <c r="L315" s="2"/>
    </row>
    <row r="316" spans="1:12" s="28" customFormat="1" ht="31.5" customHeight="1">
      <c r="A316" s="11"/>
      <c r="B316" s="48"/>
      <c r="C316" s="57"/>
      <c r="D316" s="11" t="s">
        <v>22</v>
      </c>
      <c r="E316" s="10"/>
      <c r="F316" s="11"/>
      <c r="G316" s="11">
        <v>5</v>
      </c>
      <c r="H316" s="11" t="s">
        <v>23</v>
      </c>
      <c r="I316" s="10" t="s">
        <v>24</v>
      </c>
      <c r="J316" s="32">
        <f>24+12</f>
        <v>36</v>
      </c>
      <c r="K316" s="11"/>
      <c r="L316" s="2"/>
    </row>
    <row r="317" spans="1:12" s="28" customFormat="1" ht="31.5" customHeight="1">
      <c r="A317" s="21"/>
      <c r="B317" s="48"/>
      <c r="C317" s="58"/>
      <c r="D317" s="11" t="s">
        <v>119</v>
      </c>
      <c r="E317" s="10"/>
      <c r="F317" s="11">
        <v>21</v>
      </c>
      <c r="G317" s="11">
        <v>100</v>
      </c>
      <c r="H317" s="11" t="s">
        <v>35</v>
      </c>
      <c r="I317" s="10" t="s">
        <v>24</v>
      </c>
      <c r="J317" s="32">
        <f>4.53-1.26</f>
        <v>3.27</v>
      </c>
      <c r="K317" s="11"/>
      <c r="L317" s="2"/>
    </row>
    <row r="318" spans="1:12" s="28" customFormat="1" ht="31.5" customHeight="1">
      <c r="A318" s="11"/>
      <c r="B318" s="48"/>
      <c r="C318" s="56" t="s">
        <v>61</v>
      </c>
      <c r="D318" s="11" t="s">
        <v>159</v>
      </c>
      <c r="E318" s="10">
        <f>960+960+75*3+585+650+75*3+650+195</f>
        <v>4450</v>
      </c>
      <c r="F318" s="11">
        <v>32</v>
      </c>
      <c r="G318" s="11">
        <v>3100</v>
      </c>
      <c r="H318" s="11" t="s">
        <v>143</v>
      </c>
      <c r="I318" s="10" t="s">
        <v>18</v>
      </c>
      <c r="J318" s="32">
        <f t="shared" ref="J318" si="58">E318*G318/1000000</f>
        <v>13.795</v>
      </c>
      <c r="K318" s="11" t="s">
        <v>113</v>
      </c>
      <c r="L318" s="2"/>
    </row>
    <row r="319" spans="1:12" s="28" customFormat="1" ht="31.5" customHeight="1">
      <c r="A319" s="11"/>
      <c r="B319" s="48"/>
      <c r="C319" s="57"/>
      <c r="D319" s="11" t="s">
        <v>43</v>
      </c>
      <c r="E319" s="10"/>
      <c r="F319" s="11"/>
      <c r="G319" s="11"/>
      <c r="H319" s="11"/>
      <c r="I319" s="10" t="s">
        <v>18</v>
      </c>
      <c r="J319" s="32">
        <f>J318</f>
        <v>13.795</v>
      </c>
      <c r="K319" s="11"/>
      <c r="L319" s="2"/>
    </row>
    <row r="320" spans="1:12" s="28" customFormat="1" ht="31.5" customHeight="1">
      <c r="A320" s="11"/>
      <c r="B320" s="48"/>
      <c r="C320" s="57"/>
      <c r="D320" s="11" t="s">
        <v>22</v>
      </c>
      <c r="E320" s="10"/>
      <c r="F320" s="11"/>
      <c r="G320" s="11">
        <v>5</v>
      </c>
      <c r="H320" s="11" t="s">
        <v>23</v>
      </c>
      <c r="I320" s="10" t="s">
        <v>24</v>
      </c>
      <c r="J320" s="32">
        <f>24+16</f>
        <v>40</v>
      </c>
      <c r="K320" s="11"/>
      <c r="L320" s="2"/>
    </row>
    <row r="321" spans="1:12" s="28" customFormat="1" ht="31.5" customHeight="1">
      <c r="A321" s="11"/>
      <c r="B321" s="48"/>
      <c r="C321" s="57"/>
      <c r="D321" s="11" t="s">
        <v>160</v>
      </c>
      <c r="E321" s="10"/>
      <c r="F321" s="11">
        <v>36</v>
      </c>
      <c r="G321" s="11">
        <v>80</v>
      </c>
      <c r="H321" s="11" t="s">
        <v>39</v>
      </c>
      <c r="I321" s="10" t="s">
        <v>18</v>
      </c>
      <c r="J321" s="32">
        <f>(E322*2+G322*4)/1000</f>
        <v>15.04</v>
      </c>
      <c r="K321" s="11"/>
      <c r="L321" s="2"/>
    </row>
    <row r="322" spans="1:12" s="28" customFormat="1" ht="31.5" customHeight="1">
      <c r="A322" s="11"/>
      <c r="B322" s="48"/>
      <c r="C322" s="57"/>
      <c r="D322" s="11" t="s">
        <v>53</v>
      </c>
      <c r="E322" s="10">
        <v>1320</v>
      </c>
      <c r="F322" s="11">
        <v>185</v>
      </c>
      <c r="G322" s="11">
        <v>3100</v>
      </c>
      <c r="H322" s="11" t="s">
        <v>20</v>
      </c>
      <c r="I322" s="10" t="s">
        <v>18</v>
      </c>
      <c r="J322" s="32">
        <f>(E322+G322*2)*F322/1000000</f>
        <v>1.3912</v>
      </c>
      <c r="K322" s="11"/>
      <c r="L322" s="2"/>
    </row>
    <row r="323" spans="1:12" s="28" customFormat="1" ht="31.5" customHeight="1">
      <c r="A323" s="11"/>
      <c r="B323" s="48"/>
      <c r="C323" s="57"/>
      <c r="D323" s="11" t="s">
        <v>96</v>
      </c>
      <c r="E323" s="10"/>
      <c r="F323" s="11">
        <v>36</v>
      </c>
      <c r="G323" s="11">
        <v>80</v>
      </c>
      <c r="H323" s="11" t="s">
        <v>144</v>
      </c>
      <c r="I323" s="10" t="s">
        <v>18</v>
      </c>
      <c r="J323" s="32">
        <f>(E324*2+G324*4)/1000</f>
        <v>17.100000000000001</v>
      </c>
      <c r="K323" s="11"/>
      <c r="L323" s="2"/>
    </row>
    <row r="324" spans="1:12" s="28" customFormat="1" ht="31.5" customHeight="1">
      <c r="A324" s="11"/>
      <c r="B324" s="48"/>
      <c r="C324" s="57"/>
      <c r="D324" s="11" t="s">
        <v>114</v>
      </c>
      <c r="E324" s="10">
        <v>2350</v>
      </c>
      <c r="F324" s="11">
        <v>100</v>
      </c>
      <c r="G324" s="11">
        <v>3100</v>
      </c>
      <c r="H324" s="11" t="s">
        <v>20</v>
      </c>
      <c r="I324" s="10" t="s">
        <v>18</v>
      </c>
      <c r="J324" s="32">
        <f>(E324+G324*2)*F324/1000000</f>
        <v>0.85499999999999998</v>
      </c>
      <c r="K324" s="11"/>
      <c r="L324" s="2"/>
    </row>
    <row r="325" spans="1:12" s="28" customFormat="1" ht="31.5" customHeight="1">
      <c r="A325" s="21"/>
      <c r="B325" s="49"/>
      <c r="C325" s="58"/>
      <c r="D325" s="11" t="s">
        <v>119</v>
      </c>
      <c r="E325" s="10"/>
      <c r="F325" s="11">
        <v>21</v>
      </c>
      <c r="G325" s="11">
        <v>100</v>
      </c>
      <c r="H325" s="11" t="s">
        <v>35</v>
      </c>
      <c r="I325" s="10" t="s">
        <v>24</v>
      </c>
      <c r="J325" s="32">
        <f>8.28-1.32</f>
        <v>6.96</v>
      </c>
      <c r="K325" s="11"/>
      <c r="L325" s="2"/>
    </row>
    <row r="326" spans="1:12" s="28" customFormat="1" ht="31.5" customHeight="1">
      <c r="A326" s="41" t="s">
        <v>161</v>
      </c>
      <c r="B326" s="42"/>
      <c r="C326" s="10"/>
      <c r="D326" s="11"/>
      <c r="E326" s="10"/>
      <c r="F326" s="11"/>
      <c r="G326" s="11"/>
      <c r="H326" s="11"/>
      <c r="I326" s="10"/>
      <c r="J326" s="32"/>
      <c r="K326" s="11"/>
      <c r="L326" s="2"/>
    </row>
    <row r="327" spans="1:12" s="28" customFormat="1" ht="31.5" customHeight="1">
      <c r="A327" s="11"/>
      <c r="B327" s="47">
        <v>9.9999999999999998E-13</v>
      </c>
      <c r="C327" s="10" t="s">
        <v>15</v>
      </c>
      <c r="D327" s="11" t="s">
        <v>119</v>
      </c>
      <c r="E327" s="10"/>
      <c r="F327" s="11">
        <v>21</v>
      </c>
      <c r="G327" s="11">
        <v>100</v>
      </c>
      <c r="H327" s="11" t="s">
        <v>35</v>
      </c>
      <c r="I327" s="10" t="s">
        <v>24</v>
      </c>
      <c r="J327" s="32">
        <v>1.2</v>
      </c>
      <c r="K327" s="11"/>
      <c r="L327" s="2"/>
    </row>
    <row r="328" spans="1:12" s="28" customFormat="1" ht="31.5" customHeight="1">
      <c r="A328" s="11"/>
      <c r="B328" s="48"/>
      <c r="C328" s="56" t="s">
        <v>47</v>
      </c>
      <c r="D328" s="11" t="s">
        <v>42</v>
      </c>
      <c r="E328" s="10">
        <v>1380</v>
      </c>
      <c r="F328" s="11">
        <v>32</v>
      </c>
      <c r="G328" s="11">
        <v>3000</v>
      </c>
      <c r="H328" s="11" t="s">
        <v>20</v>
      </c>
      <c r="I328" s="10" t="s">
        <v>18</v>
      </c>
      <c r="J328" s="32">
        <f t="shared" ref="J328" si="59">E328*G328/1000000</f>
        <v>4.1399999999999997</v>
      </c>
      <c r="K328" s="11" t="s">
        <v>113</v>
      </c>
      <c r="L328" s="2"/>
    </row>
    <row r="329" spans="1:12" s="28" customFormat="1" ht="31.5" customHeight="1">
      <c r="A329" s="11"/>
      <c r="B329" s="48"/>
      <c r="C329" s="57"/>
      <c r="D329" s="11" t="s">
        <v>43</v>
      </c>
      <c r="E329" s="10"/>
      <c r="F329" s="11"/>
      <c r="G329" s="11"/>
      <c r="H329" s="11"/>
      <c r="I329" s="10" t="s">
        <v>18</v>
      </c>
      <c r="J329" s="32">
        <f>J328</f>
        <v>4.1399999999999997</v>
      </c>
      <c r="K329" s="11"/>
      <c r="L329" s="2"/>
    </row>
    <row r="330" spans="1:12" s="28" customFormat="1" ht="31.5" customHeight="1">
      <c r="A330" s="11"/>
      <c r="B330" s="48"/>
      <c r="C330" s="57"/>
      <c r="D330" s="11" t="s">
        <v>22</v>
      </c>
      <c r="E330" s="10"/>
      <c r="F330" s="11"/>
      <c r="G330" s="11">
        <v>5</v>
      </c>
      <c r="H330" s="11" t="s">
        <v>23</v>
      </c>
      <c r="I330" s="10" t="s">
        <v>24</v>
      </c>
      <c r="J330" s="32">
        <v>16</v>
      </c>
      <c r="K330" s="11"/>
      <c r="L330" s="2"/>
    </row>
    <row r="331" spans="1:12" s="28" customFormat="1" ht="31.5" customHeight="1">
      <c r="A331" s="11"/>
      <c r="B331" s="48"/>
      <c r="C331" s="58"/>
      <c r="D331" s="11" t="s">
        <v>119</v>
      </c>
      <c r="E331" s="10"/>
      <c r="F331" s="11">
        <v>21</v>
      </c>
      <c r="G331" s="11">
        <v>100</v>
      </c>
      <c r="H331" s="11" t="s">
        <v>35</v>
      </c>
      <c r="I331" s="10" t="s">
        <v>24</v>
      </c>
      <c r="J331" s="32">
        <v>1.2</v>
      </c>
      <c r="K331" s="11"/>
      <c r="L331" s="2"/>
    </row>
    <row r="332" spans="1:12" s="28" customFormat="1" ht="31.5" customHeight="1">
      <c r="A332" s="11"/>
      <c r="B332" s="48"/>
      <c r="C332" s="56" t="s">
        <v>54</v>
      </c>
      <c r="D332" s="11" t="s">
        <v>162</v>
      </c>
      <c r="E332" s="10">
        <v>2450</v>
      </c>
      <c r="F332" s="11">
        <v>580</v>
      </c>
      <c r="G332" s="11">
        <v>3000</v>
      </c>
      <c r="H332" s="11" t="s">
        <v>20</v>
      </c>
      <c r="I332" s="10" t="s">
        <v>18</v>
      </c>
      <c r="J332" s="32">
        <f t="shared" ref="J332:J333" si="60">E332*G332/1000000</f>
        <v>7.35</v>
      </c>
      <c r="K332" s="11"/>
      <c r="L332" s="2"/>
    </row>
    <row r="333" spans="1:12" s="28" customFormat="1" ht="31.5" customHeight="1">
      <c r="A333" s="11"/>
      <c r="B333" s="48"/>
      <c r="C333" s="57"/>
      <c r="D333" s="11" t="s">
        <v>163</v>
      </c>
      <c r="E333" s="10">
        <v>2357</v>
      </c>
      <c r="F333" s="11">
        <v>22</v>
      </c>
      <c r="G333" s="11">
        <v>2850</v>
      </c>
      <c r="H333" s="11" t="s">
        <v>35</v>
      </c>
      <c r="I333" s="10" t="s">
        <v>18</v>
      </c>
      <c r="J333" s="32">
        <f t="shared" si="60"/>
        <v>6.7174500000000004</v>
      </c>
      <c r="K333" s="11"/>
      <c r="L333" s="2"/>
    </row>
    <row r="334" spans="1:12" s="28" customFormat="1" ht="31.5" customHeight="1">
      <c r="A334" s="11"/>
      <c r="B334" s="48"/>
      <c r="C334" s="57"/>
      <c r="D334" s="11" t="s">
        <v>164</v>
      </c>
      <c r="E334" s="10">
        <v>550</v>
      </c>
      <c r="F334" s="11">
        <v>424</v>
      </c>
      <c r="G334" s="11">
        <v>160</v>
      </c>
      <c r="H334" s="11" t="s">
        <v>165</v>
      </c>
      <c r="I334" s="10" t="s">
        <v>33</v>
      </c>
      <c r="J334" s="32">
        <v>2</v>
      </c>
      <c r="K334" s="11"/>
      <c r="L334" s="2"/>
    </row>
    <row r="335" spans="1:12" s="28" customFormat="1" ht="31.5" customHeight="1">
      <c r="A335" s="11"/>
      <c r="B335" s="48"/>
      <c r="C335" s="58"/>
      <c r="D335" s="11" t="s">
        <v>119</v>
      </c>
      <c r="E335" s="10"/>
      <c r="F335" s="11">
        <v>21</v>
      </c>
      <c r="G335" s="11">
        <v>100</v>
      </c>
      <c r="H335" s="11" t="s">
        <v>35</v>
      </c>
      <c r="I335" s="10" t="s">
        <v>24</v>
      </c>
      <c r="J335" s="32">
        <v>3</v>
      </c>
      <c r="K335" s="11"/>
      <c r="L335" s="2"/>
    </row>
    <row r="336" spans="1:12" s="28" customFormat="1" ht="31.5" customHeight="1">
      <c r="A336" s="11"/>
      <c r="B336" s="48"/>
      <c r="C336" s="56" t="s">
        <v>61</v>
      </c>
      <c r="D336" s="11" t="s">
        <v>42</v>
      </c>
      <c r="E336" s="10">
        <f>565*2</f>
        <v>1130</v>
      </c>
      <c r="F336" s="11">
        <v>32</v>
      </c>
      <c r="G336" s="11">
        <v>3000</v>
      </c>
      <c r="H336" s="11" t="s">
        <v>20</v>
      </c>
      <c r="I336" s="10" t="s">
        <v>18</v>
      </c>
      <c r="J336" s="32">
        <f t="shared" ref="J336" si="61">E336*G336/1000000</f>
        <v>3.39</v>
      </c>
      <c r="K336" s="11"/>
      <c r="L336" s="2"/>
    </row>
    <row r="337" spans="1:12" s="28" customFormat="1" ht="31.5" customHeight="1">
      <c r="A337" s="11"/>
      <c r="B337" s="48"/>
      <c r="C337" s="57"/>
      <c r="D337" s="11" t="s">
        <v>43</v>
      </c>
      <c r="E337" s="10"/>
      <c r="F337" s="11"/>
      <c r="G337" s="11"/>
      <c r="H337" s="11"/>
      <c r="I337" s="10" t="s">
        <v>18</v>
      </c>
      <c r="J337" s="32">
        <f>J336</f>
        <v>3.39</v>
      </c>
      <c r="K337" s="11"/>
      <c r="L337" s="2"/>
    </row>
    <row r="338" spans="1:12" s="28" customFormat="1" ht="31.5" customHeight="1">
      <c r="A338" s="11"/>
      <c r="B338" s="48"/>
      <c r="C338" s="57"/>
      <c r="D338" s="11" t="s">
        <v>22</v>
      </c>
      <c r="E338" s="10"/>
      <c r="F338" s="11"/>
      <c r="G338" s="11">
        <v>5</v>
      </c>
      <c r="H338" s="11" t="s">
        <v>23</v>
      </c>
      <c r="I338" s="10" t="s">
        <v>24</v>
      </c>
      <c r="J338" s="32">
        <f>9</f>
        <v>9</v>
      </c>
      <c r="K338" s="11"/>
      <c r="L338" s="2"/>
    </row>
    <row r="339" spans="1:12" s="28" customFormat="1" ht="31.5" customHeight="1">
      <c r="A339" s="11"/>
      <c r="B339" s="48"/>
      <c r="C339" s="57"/>
      <c r="D339" s="11" t="s">
        <v>159</v>
      </c>
      <c r="E339" s="10">
        <v>1900</v>
      </c>
      <c r="F339" s="11">
        <v>32</v>
      </c>
      <c r="G339" s="11">
        <v>3000</v>
      </c>
      <c r="H339" s="11" t="s">
        <v>143</v>
      </c>
      <c r="I339" s="10" t="s">
        <v>18</v>
      </c>
      <c r="J339" s="32">
        <f t="shared" ref="J339" si="62">E339*G339/1000000</f>
        <v>5.7</v>
      </c>
      <c r="K339" s="11" t="s">
        <v>113</v>
      </c>
      <c r="L339" s="2"/>
    </row>
    <row r="340" spans="1:12" s="28" customFormat="1" ht="31.5" customHeight="1">
      <c r="A340" s="11"/>
      <c r="B340" s="48"/>
      <c r="C340" s="57"/>
      <c r="D340" s="11" t="s">
        <v>43</v>
      </c>
      <c r="E340" s="10"/>
      <c r="F340" s="11"/>
      <c r="G340" s="11"/>
      <c r="H340" s="11"/>
      <c r="I340" s="10" t="s">
        <v>18</v>
      </c>
      <c r="J340" s="32">
        <f>J339</f>
        <v>5.7</v>
      </c>
      <c r="K340" s="11"/>
      <c r="L340" s="2"/>
    </row>
    <row r="341" spans="1:12" s="28" customFormat="1" ht="31.5" customHeight="1">
      <c r="A341" s="11"/>
      <c r="B341" s="48"/>
      <c r="C341" s="57"/>
      <c r="D341" s="11" t="s">
        <v>22</v>
      </c>
      <c r="E341" s="10"/>
      <c r="F341" s="11"/>
      <c r="G341" s="11">
        <v>5</v>
      </c>
      <c r="H341" s="11" t="s">
        <v>23</v>
      </c>
      <c r="I341" s="10" t="s">
        <v>24</v>
      </c>
      <c r="J341" s="32">
        <f>16+3</f>
        <v>19</v>
      </c>
      <c r="K341" s="11"/>
      <c r="L341" s="2"/>
    </row>
    <row r="342" spans="1:12" s="28" customFormat="1" ht="31.5" customHeight="1">
      <c r="A342" s="11"/>
      <c r="B342" s="49"/>
      <c r="C342" s="58"/>
      <c r="D342" s="11" t="s">
        <v>119</v>
      </c>
      <c r="E342" s="10"/>
      <c r="F342" s="11">
        <v>21</v>
      </c>
      <c r="G342" s="11">
        <v>100</v>
      </c>
      <c r="H342" s="11" t="s">
        <v>35</v>
      </c>
      <c r="I342" s="10" t="s">
        <v>24</v>
      </c>
      <c r="J342" s="32">
        <v>3.85</v>
      </c>
      <c r="K342" s="11"/>
      <c r="L342" s="2"/>
    </row>
    <row r="343" spans="1:12" s="28" customFormat="1" ht="31.5" customHeight="1">
      <c r="A343" s="11"/>
      <c r="B343" s="50">
        <v>1E-13</v>
      </c>
      <c r="C343" s="56" t="s">
        <v>68</v>
      </c>
      <c r="D343" s="11" t="s">
        <v>166</v>
      </c>
      <c r="E343" s="10"/>
      <c r="F343" s="11">
        <v>36</v>
      </c>
      <c r="G343" s="11">
        <v>80</v>
      </c>
      <c r="H343" s="11" t="s">
        <v>39</v>
      </c>
      <c r="I343" s="10" t="s">
        <v>18</v>
      </c>
      <c r="J343" s="32">
        <f>(E344*2+G344*4)/1000</f>
        <v>14.92</v>
      </c>
      <c r="K343" s="11"/>
      <c r="L343" s="2"/>
    </row>
    <row r="344" spans="1:12" s="28" customFormat="1" ht="31.5" customHeight="1">
      <c r="A344" s="11"/>
      <c r="B344" s="51"/>
      <c r="C344" s="57"/>
      <c r="D344" s="11" t="s">
        <v>53</v>
      </c>
      <c r="E344" s="10">
        <v>1460</v>
      </c>
      <c r="F344" s="11">
        <v>250</v>
      </c>
      <c r="G344" s="11">
        <v>3000</v>
      </c>
      <c r="H344" s="11" t="s">
        <v>20</v>
      </c>
      <c r="I344" s="10" t="s">
        <v>18</v>
      </c>
      <c r="J344" s="32">
        <f>(E344+G344*2)*F344/1000000</f>
        <v>1.865</v>
      </c>
      <c r="K344" s="11"/>
      <c r="L344" s="2"/>
    </row>
    <row r="345" spans="1:12" s="28" customFormat="1" ht="31.5" customHeight="1">
      <c r="A345" s="11"/>
      <c r="B345" s="51"/>
      <c r="C345" s="57"/>
      <c r="D345" s="11" t="s">
        <v>65</v>
      </c>
      <c r="E345" s="10">
        <f>E344-160</f>
        <v>1300</v>
      </c>
      <c r="F345" s="11">
        <v>50</v>
      </c>
      <c r="G345" s="11">
        <v>2400</v>
      </c>
      <c r="H345" s="11" t="s">
        <v>35</v>
      </c>
      <c r="I345" s="10" t="s">
        <v>18</v>
      </c>
      <c r="J345" s="32">
        <f t="shared" ref="J345" si="63">E345*G345/1000000</f>
        <v>3.12</v>
      </c>
      <c r="K345" s="11"/>
      <c r="L345" s="2"/>
    </row>
    <row r="346" spans="1:12" s="28" customFormat="1" ht="31.5" customHeight="1">
      <c r="A346" s="11"/>
      <c r="B346" s="51"/>
      <c r="C346" s="57"/>
      <c r="D346" s="11" t="s">
        <v>59</v>
      </c>
      <c r="E346" s="10">
        <v>1300</v>
      </c>
      <c r="F346" s="11">
        <v>32</v>
      </c>
      <c r="G346" s="11">
        <v>600</v>
      </c>
      <c r="H346" s="11" t="s">
        <v>35</v>
      </c>
      <c r="I346" s="10" t="s">
        <v>18</v>
      </c>
      <c r="J346" s="32">
        <f>E346*G346/1000000*2</f>
        <v>1.56</v>
      </c>
      <c r="K346" s="11"/>
      <c r="L346" s="2"/>
    </row>
    <row r="347" spans="1:12" s="28" customFormat="1" ht="31.5" customHeight="1">
      <c r="A347" s="11"/>
      <c r="B347" s="51"/>
      <c r="C347" s="57"/>
      <c r="D347" s="11" t="s">
        <v>22</v>
      </c>
      <c r="E347" s="10"/>
      <c r="F347" s="11"/>
      <c r="G347" s="11">
        <v>5</v>
      </c>
      <c r="H347" s="11" t="s">
        <v>23</v>
      </c>
      <c r="I347" s="10" t="s">
        <v>24</v>
      </c>
      <c r="J347" s="32">
        <v>12</v>
      </c>
      <c r="K347" s="11"/>
      <c r="L347" s="2"/>
    </row>
    <row r="348" spans="1:12" s="28" customFormat="1" ht="31.5" customHeight="1">
      <c r="A348" s="11"/>
      <c r="B348" s="51"/>
      <c r="C348" s="58"/>
      <c r="D348" s="11" t="s">
        <v>119</v>
      </c>
      <c r="E348" s="10"/>
      <c r="F348" s="11">
        <v>21</v>
      </c>
      <c r="G348" s="11">
        <v>100</v>
      </c>
      <c r="H348" s="11" t="s">
        <v>35</v>
      </c>
      <c r="I348" s="10" t="s">
        <v>24</v>
      </c>
      <c r="J348" s="32">
        <f>1.51+0.88</f>
        <v>2.39</v>
      </c>
      <c r="K348" s="11"/>
      <c r="L348" s="2"/>
    </row>
    <row r="349" spans="1:12" s="28" customFormat="1" ht="31.5" customHeight="1">
      <c r="A349" s="11"/>
      <c r="B349" s="51"/>
      <c r="C349" s="56" t="s">
        <v>70</v>
      </c>
      <c r="D349" s="11" t="s">
        <v>42</v>
      </c>
      <c r="E349" s="10">
        <v>1380</v>
      </c>
      <c r="F349" s="11">
        <v>32</v>
      </c>
      <c r="G349" s="11">
        <v>3000</v>
      </c>
      <c r="H349" s="11" t="s">
        <v>20</v>
      </c>
      <c r="I349" s="10" t="s">
        <v>18</v>
      </c>
      <c r="J349" s="32">
        <f t="shared" ref="J349" si="64">E349*G349/1000000</f>
        <v>4.1399999999999997</v>
      </c>
      <c r="K349" s="11" t="s">
        <v>113</v>
      </c>
      <c r="L349" s="2"/>
    </row>
    <row r="350" spans="1:12" s="28" customFormat="1" ht="31.5" customHeight="1">
      <c r="A350" s="11"/>
      <c r="B350" s="51"/>
      <c r="C350" s="57"/>
      <c r="D350" s="11" t="s">
        <v>43</v>
      </c>
      <c r="E350" s="10"/>
      <c r="F350" s="11"/>
      <c r="G350" s="11"/>
      <c r="H350" s="11"/>
      <c r="I350" s="10" t="s">
        <v>18</v>
      </c>
      <c r="J350" s="32">
        <f>J349</f>
        <v>4.1399999999999997</v>
      </c>
      <c r="K350" s="11"/>
      <c r="L350" s="2"/>
    </row>
    <row r="351" spans="1:12" s="28" customFormat="1" ht="31.5" customHeight="1">
      <c r="A351" s="11"/>
      <c r="B351" s="51"/>
      <c r="C351" s="57"/>
      <c r="D351" s="11" t="s">
        <v>22</v>
      </c>
      <c r="E351" s="10"/>
      <c r="F351" s="11"/>
      <c r="G351" s="11">
        <v>5</v>
      </c>
      <c r="H351" s="11" t="s">
        <v>23</v>
      </c>
      <c r="I351" s="10" t="s">
        <v>24</v>
      </c>
      <c r="J351" s="32">
        <v>16</v>
      </c>
      <c r="K351" s="11"/>
      <c r="L351" s="2"/>
    </row>
    <row r="352" spans="1:12" s="28" customFormat="1" ht="31.5" customHeight="1">
      <c r="A352" s="11"/>
      <c r="B352" s="52"/>
      <c r="C352" s="58"/>
      <c r="D352" s="11" t="s">
        <v>119</v>
      </c>
      <c r="E352" s="10"/>
      <c r="F352" s="11">
        <v>21</v>
      </c>
      <c r="G352" s="11">
        <v>100</v>
      </c>
      <c r="H352" s="11" t="s">
        <v>35</v>
      </c>
      <c r="I352" s="10" t="s">
        <v>24</v>
      </c>
      <c r="J352" s="32">
        <v>1.2</v>
      </c>
      <c r="K352" s="11"/>
      <c r="L352" s="2"/>
    </row>
    <row r="353" spans="1:12" s="28" customFormat="1" ht="31.5" customHeight="1">
      <c r="A353" s="41" t="s">
        <v>167</v>
      </c>
      <c r="B353" s="42"/>
      <c r="C353" s="10"/>
      <c r="D353" s="11"/>
      <c r="E353" s="10"/>
      <c r="F353" s="11"/>
      <c r="G353" s="11"/>
      <c r="H353" s="11"/>
      <c r="I353" s="10"/>
      <c r="J353" s="32"/>
      <c r="K353" s="11"/>
      <c r="L353" s="2"/>
    </row>
    <row r="354" spans="1:12" s="28" customFormat="1" ht="31.5" customHeight="1">
      <c r="A354" s="11"/>
      <c r="B354" s="47">
        <v>1E-14</v>
      </c>
      <c r="C354" s="10" t="s">
        <v>15</v>
      </c>
      <c r="D354" s="11" t="s">
        <v>119</v>
      </c>
      <c r="E354" s="10"/>
      <c r="F354" s="11">
        <v>21</v>
      </c>
      <c r="G354" s="11">
        <v>100</v>
      </c>
      <c r="H354" s="11" t="s">
        <v>35</v>
      </c>
      <c r="I354" s="10" t="s">
        <v>24</v>
      </c>
      <c r="J354" s="32">
        <f>0.85+0.23</f>
        <v>1.08</v>
      </c>
      <c r="K354" s="11"/>
      <c r="L354" s="2"/>
    </row>
    <row r="355" spans="1:12" s="28" customFormat="1" ht="31.5" customHeight="1">
      <c r="A355" s="11"/>
      <c r="B355" s="48"/>
      <c r="C355" s="56" t="s">
        <v>47</v>
      </c>
      <c r="D355" s="11" t="s">
        <v>168</v>
      </c>
      <c r="E355" s="10">
        <f>560+560</f>
        <v>1120</v>
      </c>
      <c r="F355" s="11">
        <v>32</v>
      </c>
      <c r="G355" s="11">
        <v>3000</v>
      </c>
      <c r="H355" s="11" t="s">
        <v>20</v>
      </c>
      <c r="I355" s="10" t="s">
        <v>18</v>
      </c>
      <c r="J355" s="32">
        <f t="shared" ref="J355" si="65">E355*G355/1000000</f>
        <v>3.36</v>
      </c>
      <c r="K355" s="11" t="s">
        <v>113</v>
      </c>
      <c r="L355" s="2"/>
    </row>
    <row r="356" spans="1:12" s="28" customFormat="1" ht="31.5" customHeight="1">
      <c r="A356" s="11"/>
      <c r="B356" s="48"/>
      <c r="C356" s="57"/>
      <c r="D356" s="11" t="s">
        <v>43</v>
      </c>
      <c r="E356" s="10"/>
      <c r="F356" s="11"/>
      <c r="G356" s="11"/>
      <c r="H356" s="11"/>
      <c r="I356" s="10" t="s">
        <v>18</v>
      </c>
      <c r="J356" s="32">
        <f>J355</f>
        <v>3.36</v>
      </c>
      <c r="K356" s="11"/>
      <c r="L356" s="2"/>
    </row>
    <row r="357" spans="1:12" s="28" customFormat="1" ht="31.5" customHeight="1">
      <c r="A357" s="11"/>
      <c r="B357" s="48"/>
      <c r="C357" s="57"/>
      <c r="D357" s="11" t="s">
        <v>22</v>
      </c>
      <c r="E357" s="10"/>
      <c r="F357" s="11"/>
      <c r="G357" s="11">
        <v>5</v>
      </c>
      <c r="H357" s="11" t="s">
        <v>23</v>
      </c>
      <c r="I357" s="10" t="s">
        <v>24</v>
      </c>
      <c r="J357" s="32">
        <f>10.8+2.4</f>
        <v>13.2</v>
      </c>
      <c r="K357" s="11"/>
      <c r="L357" s="2"/>
    </row>
    <row r="358" spans="1:12" s="28" customFormat="1" ht="31.5" customHeight="1">
      <c r="A358" s="11"/>
      <c r="B358" s="48"/>
      <c r="C358" s="58"/>
      <c r="D358" s="11" t="s">
        <v>119</v>
      </c>
      <c r="E358" s="10"/>
      <c r="F358" s="11">
        <v>21</v>
      </c>
      <c r="G358" s="11">
        <v>100</v>
      </c>
      <c r="H358" s="11" t="s">
        <v>35</v>
      </c>
      <c r="I358" s="10" t="s">
        <v>24</v>
      </c>
      <c r="J358" s="32">
        <v>3.74</v>
      </c>
      <c r="K358" s="11"/>
      <c r="L358" s="2"/>
    </row>
    <row r="359" spans="1:12" s="28" customFormat="1" ht="31.5" customHeight="1">
      <c r="A359" s="11"/>
      <c r="B359" s="48"/>
      <c r="C359" s="10" t="s">
        <v>54</v>
      </c>
      <c r="D359" s="11" t="s">
        <v>119</v>
      </c>
      <c r="E359" s="10"/>
      <c r="F359" s="11">
        <v>21</v>
      </c>
      <c r="G359" s="11">
        <v>100</v>
      </c>
      <c r="H359" s="11" t="s">
        <v>35</v>
      </c>
      <c r="I359" s="10" t="s">
        <v>24</v>
      </c>
      <c r="J359" s="32">
        <v>1.1000000000000001</v>
      </c>
      <c r="K359" s="11"/>
      <c r="L359" s="2"/>
    </row>
    <row r="360" spans="1:12" s="28" customFormat="1" ht="36" customHeight="1">
      <c r="A360" s="11"/>
      <c r="B360" s="48"/>
      <c r="C360" s="56" t="s">
        <v>61</v>
      </c>
      <c r="D360" s="11" t="s">
        <v>151</v>
      </c>
      <c r="E360" s="10">
        <v>3785</v>
      </c>
      <c r="F360" s="11">
        <v>310</v>
      </c>
      <c r="G360" s="11">
        <v>3000</v>
      </c>
      <c r="H360" s="11" t="s">
        <v>20</v>
      </c>
      <c r="I360" s="10" t="s">
        <v>18</v>
      </c>
      <c r="J360" s="32">
        <f t="shared" ref="J360" si="66">E360*G360/1000000</f>
        <v>11.355</v>
      </c>
      <c r="K360" s="11" t="s">
        <v>169</v>
      </c>
      <c r="L360" s="2"/>
    </row>
    <row r="361" spans="1:12" s="28" customFormat="1" ht="31.5" customHeight="1">
      <c r="A361" s="11"/>
      <c r="B361" s="48"/>
      <c r="C361" s="57"/>
      <c r="D361" s="11" t="s">
        <v>22</v>
      </c>
      <c r="E361" s="10"/>
      <c r="F361" s="11"/>
      <c r="G361" s="11">
        <v>5</v>
      </c>
      <c r="H361" s="11" t="s">
        <v>23</v>
      </c>
      <c r="I361" s="10" t="s">
        <v>24</v>
      </c>
      <c r="J361" s="32">
        <f>20</f>
        <v>20</v>
      </c>
      <c r="K361" s="11"/>
      <c r="L361" s="2"/>
    </row>
    <row r="362" spans="1:12" s="28" customFormat="1" ht="31.5" customHeight="1">
      <c r="A362" s="11"/>
      <c r="B362" s="49"/>
      <c r="C362" s="58"/>
      <c r="D362" s="11" t="s">
        <v>119</v>
      </c>
      <c r="E362" s="10"/>
      <c r="F362" s="11">
        <v>21</v>
      </c>
      <c r="G362" s="11">
        <v>100</v>
      </c>
      <c r="H362" s="11" t="s">
        <v>35</v>
      </c>
      <c r="I362" s="10" t="s">
        <v>24</v>
      </c>
      <c r="J362" s="32">
        <v>1</v>
      </c>
      <c r="K362" s="11"/>
      <c r="L362" s="2"/>
    </row>
    <row r="363" spans="1:12" s="28" customFormat="1" ht="31.5" customHeight="1">
      <c r="A363" s="41" t="s">
        <v>170</v>
      </c>
      <c r="B363" s="42"/>
      <c r="C363" s="10"/>
      <c r="D363" s="11"/>
      <c r="E363" s="10"/>
      <c r="F363" s="11"/>
      <c r="G363" s="11"/>
      <c r="H363" s="11"/>
      <c r="I363" s="10"/>
      <c r="J363" s="32"/>
      <c r="K363" s="11"/>
      <c r="L363" s="2"/>
    </row>
    <row r="364" spans="1:12" s="28" customFormat="1" ht="31.5" customHeight="1">
      <c r="A364" s="11"/>
      <c r="B364" s="47">
        <v>1.0000000000000001E-15</v>
      </c>
      <c r="C364" s="56" t="s">
        <v>47</v>
      </c>
      <c r="D364" s="11" t="s">
        <v>116</v>
      </c>
      <c r="E364" s="10">
        <v>1410</v>
      </c>
      <c r="F364" s="11">
        <v>600</v>
      </c>
      <c r="G364" s="11">
        <v>580</v>
      </c>
      <c r="H364" s="11" t="s">
        <v>171</v>
      </c>
      <c r="I364" s="10" t="s">
        <v>18</v>
      </c>
      <c r="J364" s="32">
        <f t="shared" ref="J364:J390" si="67">E364*G364/1000000</f>
        <v>0.81779999999999997</v>
      </c>
      <c r="K364" s="11"/>
      <c r="L364" s="2"/>
    </row>
    <row r="365" spans="1:12" s="28" customFormat="1" ht="31.5" customHeight="1">
      <c r="A365" s="11"/>
      <c r="B365" s="48"/>
      <c r="C365" s="57"/>
      <c r="D365" s="11" t="s">
        <v>89</v>
      </c>
      <c r="E365" s="10">
        <v>1410</v>
      </c>
      <c r="F365" s="11">
        <v>22</v>
      </c>
      <c r="G365" s="11">
        <v>540</v>
      </c>
      <c r="H365" s="11" t="s">
        <v>172</v>
      </c>
      <c r="I365" s="10" t="s">
        <v>18</v>
      </c>
      <c r="J365" s="32">
        <f t="shared" si="67"/>
        <v>0.76139999999999997</v>
      </c>
      <c r="K365" s="11"/>
      <c r="L365" s="2"/>
    </row>
    <row r="366" spans="1:12" s="28" customFormat="1" ht="31.5" customHeight="1">
      <c r="A366" s="11"/>
      <c r="B366" s="49"/>
      <c r="C366" s="58"/>
      <c r="D366" s="11" t="s">
        <v>173</v>
      </c>
      <c r="E366" s="10">
        <v>1410</v>
      </c>
      <c r="F366" s="11">
        <v>50</v>
      </c>
      <c r="G366" s="11">
        <v>2005</v>
      </c>
      <c r="H366" s="11" t="s">
        <v>174</v>
      </c>
      <c r="I366" s="10" t="s">
        <v>18</v>
      </c>
      <c r="J366" s="32">
        <f t="shared" ref="J366:J369" si="68">E366*G366/1000000</f>
        <v>2.8270499999999998</v>
      </c>
      <c r="K366" s="11"/>
      <c r="L366" s="2"/>
    </row>
    <row r="367" spans="1:12" s="28" customFormat="1" ht="31.5" customHeight="1">
      <c r="A367" s="41" t="s">
        <v>175</v>
      </c>
      <c r="B367" s="42"/>
      <c r="C367" s="10"/>
      <c r="D367" s="11"/>
      <c r="E367" s="10"/>
      <c r="F367" s="11"/>
      <c r="G367" s="11"/>
      <c r="H367" s="11"/>
      <c r="I367" s="10"/>
      <c r="J367" s="32"/>
      <c r="K367" s="11"/>
      <c r="L367" s="2"/>
    </row>
    <row r="368" spans="1:12" s="28" customFormat="1" ht="31.5" customHeight="1">
      <c r="A368" s="21"/>
      <c r="B368" s="53">
        <v>9.9999999999999998E-17</v>
      </c>
      <c r="C368" s="56" t="s">
        <v>15</v>
      </c>
      <c r="D368" s="11" t="s">
        <v>162</v>
      </c>
      <c r="E368" s="10">
        <v>3025</v>
      </c>
      <c r="F368" s="11">
        <v>580</v>
      </c>
      <c r="G368" s="11">
        <v>3000</v>
      </c>
      <c r="H368" s="11" t="s">
        <v>20</v>
      </c>
      <c r="I368" s="10" t="s">
        <v>18</v>
      </c>
      <c r="J368" s="32">
        <f t="shared" si="68"/>
        <v>9.0749999999999993</v>
      </c>
      <c r="K368" s="11"/>
      <c r="L368" s="2"/>
    </row>
    <row r="369" spans="1:12" s="28" customFormat="1" ht="31.5" customHeight="1">
      <c r="A369" s="21"/>
      <c r="B369" s="53"/>
      <c r="C369" s="57"/>
      <c r="D369" s="11" t="s">
        <v>163</v>
      </c>
      <c r="E369" s="10">
        <f>465*6</f>
        <v>2790</v>
      </c>
      <c r="F369" s="11">
        <v>22</v>
      </c>
      <c r="G369" s="11">
        <v>2850</v>
      </c>
      <c r="H369" s="11" t="s">
        <v>35</v>
      </c>
      <c r="I369" s="10" t="s">
        <v>18</v>
      </c>
      <c r="J369" s="32">
        <f t="shared" si="68"/>
        <v>7.9515000000000002</v>
      </c>
      <c r="K369" s="11"/>
      <c r="L369" s="2"/>
    </row>
    <row r="370" spans="1:12" s="28" customFormat="1" ht="31.5" customHeight="1">
      <c r="A370" s="21"/>
      <c r="B370" s="53"/>
      <c r="C370" s="57"/>
      <c r="D370" s="11" t="s">
        <v>164</v>
      </c>
      <c r="E370" s="10">
        <v>446</v>
      </c>
      <c r="F370" s="11">
        <v>424</v>
      </c>
      <c r="G370" s="11">
        <v>160</v>
      </c>
      <c r="H370" s="11" t="s">
        <v>165</v>
      </c>
      <c r="I370" s="10" t="s">
        <v>33</v>
      </c>
      <c r="J370" s="32">
        <v>6</v>
      </c>
      <c r="K370" s="11"/>
      <c r="L370" s="2"/>
    </row>
    <row r="371" spans="1:12" s="28" customFormat="1" ht="31.5" customHeight="1">
      <c r="A371" s="21"/>
      <c r="B371" s="53"/>
      <c r="C371" s="58"/>
      <c r="D371" s="11" t="s">
        <v>119</v>
      </c>
      <c r="E371" s="10"/>
      <c r="F371" s="11">
        <v>21</v>
      </c>
      <c r="G371" s="11">
        <v>100</v>
      </c>
      <c r="H371" s="11" t="s">
        <v>35</v>
      </c>
      <c r="I371" s="10" t="s">
        <v>24</v>
      </c>
      <c r="J371" s="32">
        <v>3.03</v>
      </c>
      <c r="K371" s="11"/>
      <c r="L371" s="2"/>
    </row>
    <row r="372" spans="1:12" s="28" customFormat="1" ht="31.5" customHeight="1">
      <c r="A372" s="21"/>
      <c r="B372" s="53"/>
      <c r="C372" s="56" t="s">
        <v>54</v>
      </c>
      <c r="D372" s="11" t="s">
        <v>162</v>
      </c>
      <c r="E372" s="10">
        <f>890+960+100</f>
        <v>1950</v>
      </c>
      <c r="F372" s="11">
        <v>580</v>
      </c>
      <c r="G372" s="11">
        <v>3000</v>
      </c>
      <c r="H372" s="11" t="s">
        <v>20</v>
      </c>
      <c r="I372" s="10" t="s">
        <v>18</v>
      </c>
      <c r="J372" s="32">
        <f t="shared" ref="J372:J373" si="69">E372*G372/1000000</f>
        <v>5.85</v>
      </c>
      <c r="K372" s="11"/>
      <c r="L372" s="2"/>
    </row>
    <row r="373" spans="1:12" s="28" customFormat="1" ht="31.5" customHeight="1">
      <c r="A373" s="21"/>
      <c r="B373" s="53"/>
      <c r="C373" s="57"/>
      <c r="D373" s="11" t="s">
        <v>163</v>
      </c>
      <c r="E373" s="10">
        <f>790+965</f>
        <v>1755</v>
      </c>
      <c r="F373" s="11">
        <v>22</v>
      </c>
      <c r="G373" s="11">
        <v>2850</v>
      </c>
      <c r="H373" s="11" t="s">
        <v>35</v>
      </c>
      <c r="I373" s="10" t="s">
        <v>18</v>
      </c>
      <c r="J373" s="32">
        <f t="shared" si="69"/>
        <v>5.0017500000000004</v>
      </c>
      <c r="K373" s="11"/>
      <c r="L373" s="2"/>
    </row>
    <row r="374" spans="1:12" s="28" customFormat="1" ht="31.5" customHeight="1">
      <c r="A374" s="21"/>
      <c r="B374" s="53"/>
      <c r="C374" s="57"/>
      <c r="D374" s="11" t="s">
        <v>164</v>
      </c>
      <c r="E374" s="10">
        <v>446</v>
      </c>
      <c r="F374" s="11">
        <v>424</v>
      </c>
      <c r="G374" s="11">
        <v>160</v>
      </c>
      <c r="H374" s="11" t="s">
        <v>20</v>
      </c>
      <c r="I374" s="10" t="s">
        <v>33</v>
      </c>
      <c r="J374" s="32">
        <v>6</v>
      </c>
      <c r="K374" s="11"/>
      <c r="L374" s="2"/>
    </row>
    <row r="375" spans="1:12" s="28" customFormat="1" ht="31.5" customHeight="1">
      <c r="A375" s="21"/>
      <c r="B375" s="53"/>
      <c r="C375" s="57"/>
      <c r="D375" s="11" t="s">
        <v>176</v>
      </c>
      <c r="E375" s="10"/>
      <c r="F375" s="11">
        <v>36</v>
      </c>
      <c r="G375" s="11">
        <v>80</v>
      </c>
      <c r="H375" s="11" t="s">
        <v>39</v>
      </c>
      <c r="I375" s="10" t="s">
        <v>18</v>
      </c>
      <c r="J375" s="32">
        <f>(E376*2+G376*4)/1000</f>
        <v>13.76</v>
      </c>
      <c r="K375" s="11"/>
      <c r="L375" s="2"/>
    </row>
    <row r="376" spans="1:12" s="28" customFormat="1" ht="31.5" customHeight="1">
      <c r="A376" s="21"/>
      <c r="B376" s="53"/>
      <c r="C376" s="57"/>
      <c r="D376" s="11" t="s">
        <v>53</v>
      </c>
      <c r="E376" s="10">
        <v>880</v>
      </c>
      <c r="F376" s="11">
        <v>200</v>
      </c>
      <c r="G376" s="11">
        <v>3000</v>
      </c>
      <c r="H376" s="11" t="s">
        <v>20</v>
      </c>
      <c r="I376" s="10" t="s">
        <v>18</v>
      </c>
      <c r="J376" s="32">
        <f>(E376+G376*2)*F376/1000000</f>
        <v>1.3759999999999999</v>
      </c>
      <c r="K376" s="11"/>
      <c r="L376" s="2"/>
    </row>
    <row r="377" spans="1:12" s="28" customFormat="1" ht="31.5" customHeight="1">
      <c r="A377" s="21"/>
      <c r="B377" s="53"/>
      <c r="C377" s="57"/>
      <c r="D377" s="11" t="s">
        <v>65</v>
      </c>
      <c r="E377" s="10">
        <f>E376-160</f>
        <v>720</v>
      </c>
      <c r="F377" s="11">
        <v>50</v>
      </c>
      <c r="G377" s="11">
        <v>2400</v>
      </c>
      <c r="H377" s="11" t="s">
        <v>35</v>
      </c>
      <c r="I377" s="10" t="s">
        <v>18</v>
      </c>
      <c r="J377" s="32">
        <f t="shared" ref="J377" si="70">E377*G377/1000000</f>
        <v>1.728</v>
      </c>
      <c r="K377" s="11"/>
      <c r="L377" s="2"/>
    </row>
    <row r="378" spans="1:12" s="28" customFormat="1" ht="31.5" customHeight="1">
      <c r="A378" s="21"/>
      <c r="B378" s="53"/>
      <c r="C378" s="57"/>
      <c r="D378" s="11" t="s">
        <v>59</v>
      </c>
      <c r="E378" s="10">
        <v>720</v>
      </c>
      <c r="F378" s="11">
        <v>32</v>
      </c>
      <c r="G378" s="11">
        <v>600</v>
      </c>
      <c r="H378" s="11" t="s">
        <v>35</v>
      </c>
      <c r="I378" s="10" t="s">
        <v>18</v>
      </c>
      <c r="J378" s="32">
        <f>E378*G378/1000000*2</f>
        <v>0.86399999999999999</v>
      </c>
      <c r="K378" s="11"/>
      <c r="L378" s="2"/>
    </row>
    <row r="379" spans="1:12" s="28" customFormat="1" ht="31.5" customHeight="1">
      <c r="A379" s="21"/>
      <c r="B379" s="53"/>
      <c r="C379" s="58"/>
      <c r="D379" s="11" t="s">
        <v>22</v>
      </c>
      <c r="E379" s="10"/>
      <c r="F379" s="11"/>
      <c r="G379" s="11">
        <v>5</v>
      </c>
      <c r="H379" s="11" t="s">
        <v>23</v>
      </c>
      <c r="I379" s="10" t="s">
        <v>24</v>
      </c>
      <c r="J379" s="32">
        <v>7</v>
      </c>
      <c r="K379" s="11"/>
      <c r="L379" s="2"/>
    </row>
    <row r="380" spans="1:12" s="28" customFormat="1" ht="31.5" customHeight="1">
      <c r="A380" s="41" t="s">
        <v>177</v>
      </c>
      <c r="B380" s="42"/>
      <c r="C380" s="10"/>
      <c r="D380" s="11"/>
      <c r="E380" s="10"/>
      <c r="F380" s="11"/>
      <c r="G380" s="11"/>
      <c r="H380" s="11"/>
      <c r="I380" s="10"/>
      <c r="J380" s="32"/>
      <c r="K380" s="11"/>
      <c r="L380" s="2"/>
    </row>
    <row r="381" spans="1:12" s="28" customFormat="1" ht="31.5" customHeight="1">
      <c r="A381" s="11"/>
      <c r="B381" s="47">
        <v>1.0000000000000001E-17</v>
      </c>
      <c r="C381" s="56" t="s">
        <v>47</v>
      </c>
      <c r="D381" s="11" t="s">
        <v>116</v>
      </c>
      <c r="E381" s="10">
        <v>1520</v>
      </c>
      <c r="F381" s="11">
        <v>600</v>
      </c>
      <c r="G381" s="11">
        <v>580</v>
      </c>
      <c r="H381" s="11" t="s">
        <v>171</v>
      </c>
      <c r="I381" s="10" t="s">
        <v>18</v>
      </c>
      <c r="J381" s="32">
        <f t="shared" ref="J381:J383" si="71">E381*G381/1000000</f>
        <v>0.88160000000000005</v>
      </c>
      <c r="K381" s="11"/>
      <c r="L381" s="2"/>
    </row>
    <row r="382" spans="1:12" s="28" customFormat="1" ht="31.5" customHeight="1">
      <c r="A382" s="11"/>
      <c r="B382" s="48"/>
      <c r="C382" s="57"/>
      <c r="D382" s="11" t="s">
        <v>89</v>
      </c>
      <c r="E382" s="10">
        <v>1520</v>
      </c>
      <c r="F382" s="11">
        <v>22</v>
      </c>
      <c r="G382" s="11">
        <v>540</v>
      </c>
      <c r="H382" s="11" t="s">
        <v>172</v>
      </c>
      <c r="I382" s="10" t="s">
        <v>18</v>
      </c>
      <c r="J382" s="32">
        <f t="shared" si="71"/>
        <v>0.82079999999999997</v>
      </c>
      <c r="K382" s="11"/>
      <c r="L382" s="2"/>
    </row>
    <row r="383" spans="1:12" s="28" customFormat="1" ht="31.5" customHeight="1">
      <c r="A383" s="11"/>
      <c r="B383" s="49"/>
      <c r="C383" s="58"/>
      <c r="D383" s="11" t="s">
        <v>173</v>
      </c>
      <c r="E383" s="10">
        <v>1520</v>
      </c>
      <c r="F383" s="11">
        <v>50</v>
      </c>
      <c r="G383" s="11">
        <v>2005</v>
      </c>
      <c r="H383" s="11" t="s">
        <v>174</v>
      </c>
      <c r="I383" s="10" t="s">
        <v>18</v>
      </c>
      <c r="J383" s="32">
        <f t="shared" si="71"/>
        <v>3.0476000000000001</v>
      </c>
      <c r="K383" s="11"/>
      <c r="L383" s="2"/>
    </row>
    <row r="384" spans="1:12" s="28" customFormat="1" ht="31.5" customHeight="1">
      <c r="A384" s="41" t="s">
        <v>178</v>
      </c>
      <c r="B384" s="42"/>
      <c r="C384" s="10"/>
      <c r="D384" s="11"/>
      <c r="E384" s="10"/>
      <c r="F384" s="11"/>
      <c r="G384" s="11"/>
      <c r="H384" s="11"/>
      <c r="I384" s="10"/>
      <c r="J384" s="32"/>
      <c r="K384" s="11"/>
      <c r="L384" s="2"/>
    </row>
    <row r="385" spans="1:12" s="28" customFormat="1" ht="31.5" customHeight="1">
      <c r="A385" s="11"/>
      <c r="B385" s="47">
        <v>1.0000000000000001E-18</v>
      </c>
      <c r="C385" s="56" t="s">
        <v>15</v>
      </c>
      <c r="D385" s="11" t="s">
        <v>179</v>
      </c>
      <c r="E385" s="10"/>
      <c r="F385" s="11">
        <v>36</v>
      </c>
      <c r="G385" s="11">
        <v>80</v>
      </c>
      <c r="H385" s="11" t="s">
        <v>39</v>
      </c>
      <c r="I385" s="10" t="s">
        <v>18</v>
      </c>
      <c r="J385" s="32">
        <f>(E386*2+G386*4)/1000</f>
        <v>13.92</v>
      </c>
      <c r="K385" s="11"/>
      <c r="L385" s="2"/>
    </row>
    <row r="386" spans="1:12" s="28" customFormat="1" ht="31.5" customHeight="1">
      <c r="A386" s="11"/>
      <c r="B386" s="48"/>
      <c r="C386" s="57"/>
      <c r="D386" s="11" t="s">
        <v>53</v>
      </c>
      <c r="E386" s="10">
        <v>960</v>
      </c>
      <c r="F386" s="11">
        <v>250</v>
      </c>
      <c r="G386" s="11">
        <v>3000</v>
      </c>
      <c r="H386" s="11" t="s">
        <v>20</v>
      </c>
      <c r="I386" s="10" t="s">
        <v>18</v>
      </c>
      <c r="J386" s="32">
        <f>(E386+G386*2)*F386/1000000</f>
        <v>1.74</v>
      </c>
      <c r="K386" s="11"/>
      <c r="L386" s="2"/>
    </row>
    <row r="387" spans="1:12" s="28" customFormat="1" ht="31.5" customHeight="1">
      <c r="A387" s="11"/>
      <c r="B387" s="48"/>
      <c r="C387" s="57"/>
      <c r="D387" s="11" t="s">
        <v>65</v>
      </c>
      <c r="E387" s="10">
        <f>E386-150</f>
        <v>810</v>
      </c>
      <c r="F387" s="11">
        <v>50</v>
      </c>
      <c r="G387" s="11">
        <v>2400</v>
      </c>
      <c r="H387" s="11" t="s">
        <v>35</v>
      </c>
      <c r="I387" s="10" t="s">
        <v>18</v>
      </c>
      <c r="J387" s="32">
        <f t="shared" ref="J387" si="72">E387*G387/1000000</f>
        <v>1.944</v>
      </c>
      <c r="K387" s="11" t="s">
        <v>180</v>
      </c>
      <c r="L387" s="2"/>
    </row>
    <row r="388" spans="1:12" s="28" customFormat="1" ht="31.5" customHeight="1">
      <c r="A388" s="11"/>
      <c r="B388" s="48"/>
      <c r="C388" s="57"/>
      <c r="D388" s="11" t="s">
        <v>59</v>
      </c>
      <c r="E388" s="10">
        <v>1300</v>
      </c>
      <c r="F388" s="11">
        <v>32</v>
      </c>
      <c r="G388" s="11">
        <v>600</v>
      </c>
      <c r="H388" s="11" t="s">
        <v>35</v>
      </c>
      <c r="I388" s="10" t="s">
        <v>18</v>
      </c>
      <c r="J388" s="32">
        <f>E388*G388/1000000*2</f>
        <v>1.56</v>
      </c>
      <c r="K388" s="11"/>
      <c r="L388" s="2"/>
    </row>
    <row r="389" spans="1:12" s="28" customFormat="1" ht="31.5" customHeight="1">
      <c r="A389" s="11"/>
      <c r="B389" s="48"/>
      <c r="C389" s="58"/>
      <c r="D389" s="11" t="s">
        <v>22</v>
      </c>
      <c r="E389" s="10"/>
      <c r="F389" s="11"/>
      <c r="G389" s="11">
        <v>5</v>
      </c>
      <c r="H389" s="11" t="s">
        <v>23</v>
      </c>
      <c r="I389" s="10" t="s">
        <v>24</v>
      </c>
      <c r="J389" s="32">
        <v>7.5</v>
      </c>
      <c r="K389" s="11"/>
      <c r="L389" s="2"/>
    </row>
    <row r="390" spans="1:12" s="28" customFormat="1" ht="31.5" customHeight="1">
      <c r="A390" s="11"/>
      <c r="B390" s="48"/>
      <c r="C390" s="14" t="s">
        <v>47</v>
      </c>
      <c r="D390" s="11" t="s">
        <v>173</v>
      </c>
      <c r="E390" s="10">
        <v>800</v>
      </c>
      <c r="F390" s="11">
        <v>50</v>
      </c>
      <c r="G390" s="11">
        <v>1050</v>
      </c>
      <c r="H390" s="11" t="s">
        <v>181</v>
      </c>
      <c r="I390" s="10" t="s">
        <v>18</v>
      </c>
      <c r="J390" s="32">
        <f t="shared" si="67"/>
        <v>0.84</v>
      </c>
      <c r="K390" s="11" t="s">
        <v>182</v>
      </c>
      <c r="L390" s="2"/>
    </row>
    <row r="391" spans="1:12" s="28" customFormat="1" ht="31.5" customHeight="1">
      <c r="A391" s="11"/>
      <c r="B391" s="48"/>
      <c r="C391" s="56" t="s">
        <v>54</v>
      </c>
      <c r="D391" s="11" t="s">
        <v>183</v>
      </c>
      <c r="E391" s="10"/>
      <c r="F391" s="11">
        <v>36</v>
      </c>
      <c r="G391" s="11">
        <v>80</v>
      </c>
      <c r="H391" s="11" t="s">
        <v>39</v>
      </c>
      <c r="I391" s="10" t="s">
        <v>18</v>
      </c>
      <c r="J391" s="32">
        <f>(E392*2+G392*4)/1000</f>
        <v>13.8</v>
      </c>
      <c r="K391" s="11"/>
      <c r="L391" s="2"/>
    </row>
    <row r="392" spans="1:12" s="28" customFormat="1" ht="31.5" customHeight="1">
      <c r="A392" s="11"/>
      <c r="B392" s="48"/>
      <c r="C392" s="57"/>
      <c r="D392" s="11" t="s">
        <v>53</v>
      </c>
      <c r="E392" s="10">
        <v>900</v>
      </c>
      <c r="F392" s="11">
        <v>250</v>
      </c>
      <c r="G392" s="11">
        <v>3000</v>
      </c>
      <c r="H392" s="11" t="s">
        <v>20</v>
      </c>
      <c r="I392" s="10" t="s">
        <v>18</v>
      </c>
      <c r="J392" s="32">
        <f>(E392+G392*2)*F392/1000000</f>
        <v>1.7250000000000001</v>
      </c>
      <c r="K392" s="11"/>
      <c r="L392" s="2"/>
    </row>
    <row r="393" spans="1:12" s="28" customFormat="1" ht="31.5" customHeight="1">
      <c r="A393" s="11"/>
      <c r="B393" s="48"/>
      <c r="C393" s="57"/>
      <c r="D393" s="11" t="s">
        <v>65</v>
      </c>
      <c r="E393" s="10">
        <f>E392-150</f>
        <v>750</v>
      </c>
      <c r="F393" s="11">
        <v>50</v>
      </c>
      <c r="G393" s="11">
        <v>2400</v>
      </c>
      <c r="H393" s="11" t="s">
        <v>35</v>
      </c>
      <c r="I393" s="10" t="s">
        <v>18</v>
      </c>
      <c r="J393" s="32">
        <f t="shared" ref="J393" si="73">E393*G393/1000000</f>
        <v>1.8</v>
      </c>
      <c r="K393" s="11" t="s">
        <v>180</v>
      </c>
      <c r="L393" s="2"/>
    </row>
    <row r="394" spans="1:12" s="28" customFormat="1" ht="31.5" customHeight="1">
      <c r="A394" s="11"/>
      <c r="B394" s="48"/>
      <c r="C394" s="57"/>
      <c r="D394" s="11" t="s">
        <v>59</v>
      </c>
      <c r="E394" s="10">
        <v>750</v>
      </c>
      <c r="F394" s="11">
        <v>32</v>
      </c>
      <c r="G394" s="11">
        <v>600</v>
      </c>
      <c r="H394" s="11" t="s">
        <v>35</v>
      </c>
      <c r="I394" s="10" t="s">
        <v>18</v>
      </c>
      <c r="J394" s="32">
        <f>E394*G394/1000000*2</f>
        <v>0.9</v>
      </c>
      <c r="K394" s="11"/>
      <c r="L394" s="2"/>
    </row>
    <row r="395" spans="1:12" s="28" customFormat="1" ht="31.5" customHeight="1">
      <c r="A395" s="11"/>
      <c r="B395" s="48"/>
      <c r="C395" s="58"/>
      <c r="D395" s="11" t="s">
        <v>22</v>
      </c>
      <c r="E395" s="10"/>
      <c r="F395" s="11"/>
      <c r="G395" s="11">
        <v>5</v>
      </c>
      <c r="H395" s="11" t="s">
        <v>23</v>
      </c>
      <c r="I395" s="10" t="s">
        <v>24</v>
      </c>
      <c r="J395" s="32">
        <v>7.5</v>
      </c>
      <c r="K395" s="11"/>
      <c r="L395" s="2"/>
    </row>
    <row r="396" spans="1:12" s="28" customFormat="1" ht="31.5" customHeight="1">
      <c r="A396" s="11"/>
      <c r="B396" s="48"/>
      <c r="C396" s="56" t="s">
        <v>184</v>
      </c>
      <c r="D396" s="11" t="s">
        <v>185</v>
      </c>
      <c r="E396" s="10"/>
      <c r="F396" s="11">
        <v>36</v>
      </c>
      <c r="G396" s="11">
        <v>80</v>
      </c>
      <c r="H396" s="11" t="s">
        <v>39</v>
      </c>
      <c r="I396" s="10" t="s">
        <v>18</v>
      </c>
      <c r="J396" s="32">
        <f>(E397*2+G397*4)/1000</f>
        <v>13.8</v>
      </c>
      <c r="K396" s="11"/>
      <c r="L396" s="2"/>
    </row>
    <row r="397" spans="1:12" s="28" customFormat="1" ht="31.5" customHeight="1">
      <c r="A397" s="11"/>
      <c r="B397" s="48"/>
      <c r="C397" s="57"/>
      <c r="D397" s="11" t="s">
        <v>53</v>
      </c>
      <c r="E397" s="10">
        <v>900</v>
      </c>
      <c r="F397" s="11">
        <v>250</v>
      </c>
      <c r="G397" s="11">
        <v>3000</v>
      </c>
      <c r="H397" s="11" t="s">
        <v>20</v>
      </c>
      <c r="I397" s="10" t="s">
        <v>18</v>
      </c>
      <c r="J397" s="32">
        <f>(E397+G397*2)*F397/1000000</f>
        <v>1.7250000000000001</v>
      </c>
      <c r="K397" s="11"/>
      <c r="L397" s="2"/>
    </row>
    <row r="398" spans="1:12" s="28" customFormat="1" ht="31.5" customHeight="1">
      <c r="A398" s="11"/>
      <c r="B398" s="48"/>
      <c r="C398" s="57"/>
      <c r="D398" s="11" t="s">
        <v>65</v>
      </c>
      <c r="E398" s="10">
        <f>E397-150</f>
        <v>750</v>
      </c>
      <c r="F398" s="11">
        <v>50</v>
      </c>
      <c r="G398" s="11">
        <v>2400</v>
      </c>
      <c r="H398" s="11" t="s">
        <v>35</v>
      </c>
      <c r="I398" s="10" t="s">
        <v>18</v>
      </c>
      <c r="J398" s="32">
        <f t="shared" ref="J398" si="74">E398*G398/1000000</f>
        <v>1.8</v>
      </c>
      <c r="K398" s="11" t="s">
        <v>180</v>
      </c>
      <c r="L398" s="2"/>
    </row>
    <row r="399" spans="1:12" s="28" customFormat="1" ht="31.5" customHeight="1">
      <c r="A399" s="11"/>
      <c r="B399" s="48"/>
      <c r="C399" s="57"/>
      <c r="D399" s="11" t="s">
        <v>59</v>
      </c>
      <c r="E399" s="10">
        <v>750</v>
      </c>
      <c r="F399" s="11">
        <v>32</v>
      </c>
      <c r="G399" s="11">
        <v>600</v>
      </c>
      <c r="H399" s="11" t="s">
        <v>35</v>
      </c>
      <c r="I399" s="10" t="s">
        <v>18</v>
      </c>
      <c r="J399" s="32">
        <f>E399*G399/1000000*2</f>
        <v>0.9</v>
      </c>
      <c r="K399" s="11"/>
      <c r="L399" s="2"/>
    </row>
    <row r="400" spans="1:12" s="28" customFormat="1" ht="31.5" customHeight="1">
      <c r="A400" s="11"/>
      <c r="B400" s="49"/>
      <c r="C400" s="58"/>
      <c r="D400" s="11" t="s">
        <v>22</v>
      </c>
      <c r="E400" s="10"/>
      <c r="F400" s="11"/>
      <c r="G400" s="11">
        <v>5</v>
      </c>
      <c r="H400" s="11" t="s">
        <v>23</v>
      </c>
      <c r="I400" s="10" t="s">
        <v>24</v>
      </c>
      <c r="J400" s="32">
        <v>7.5</v>
      </c>
      <c r="K400" s="11"/>
      <c r="L400" s="2"/>
    </row>
    <row r="401" spans="1:12" s="28" customFormat="1" ht="31.5" customHeight="1">
      <c r="A401" s="39" t="s">
        <v>186</v>
      </c>
      <c r="B401" s="39"/>
      <c r="C401" s="39"/>
      <c r="D401" s="11"/>
      <c r="E401" s="10"/>
      <c r="F401" s="11"/>
      <c r="G401" s="11"/>
      <c r="H401" s="11"/>
      <c r="I401" s="10"/>
      <c r="J401" s="32"/>
      <c r="K401" s="11"/>
      <c r="L401" s="2"/>
    </row>
    <row r="402" spans="1:12" s="28" customFormat="1" ht="31.5" customHeight="1">
      <c r="A402" s="41" t="s">
        <v>187</v>
      </c>
      <c r="B402" s="42"/>
      <c r="C402" s="11"/>
      <c r="D402" s="11"/>
      <c r="E402" s="10"/>
      <c r="F402" s="11"/>
      <c r="G402" s="11"/>
      <c r="H402" s="11"/>
      <c r="I402" s="10"/>
      <c r="J402" s="32"/>
      <c r="K402" s="11"/>
      <c r="L402" s="2"/>
    </row>
    <row r="403" spans="1:12" s="28" customFormat="1" ht="31.5" customHeight="1">
      <c r="A403" s="11"/>
      <c r="B403" s="47">
        <v>0.2</v>
      </c>
      <c r="C403" s="56" t="s">
        <v>15</v>
      </c>
      <c r="D403" s="11" t="s">
        <v>168</v>
      </c>
      <c r="E403" s="10">
        <f>615+595</f>
        <v>1210</v>
      </c>
      <c r="F403" s="11">
        <v>32</v>
      </c>
      <c r="G403" s="11">
        <v>3000</v>
      </c>
      <c r="H403" s="11" t="s">
        <v>143</v>
      </c>
      <c r="I403" s="10" t="s">
        <v>18</v>
      </c>
      <c r="J403" s="32">
        <f t="shared" ref="J403" si="75">E403*G403/1000000</f>
        <v>3.63</v>
      </c>
      <c r="K403" s="11" t="s">
        <v>113</v>
      </c>
      <c r="L403" s="2"/>
    </row>
    <row r="404" spans="1:12" s="28" customFormat="1" ht="31.5" customHeight="1">
      <c r="A404" s="11"/>
      <c r="B404" s="48"/>
      <c r="C404" s="57"/>
      <c r="D404" s="11" t="s">
        <v>43</v>
      </c>
      <c r="E404" s="10"/>
      <c r="F404" s="11"/>
      <c r="G404" s="11"/>
      <c r="H404" s="11"/>
      <c r="I404" s="10" t="s">
        <v>18</v>
      </c>
      <c r="J404" s="32">
        <f>J403</f>
        <v>3.63</v>
      </c>
      <c r="K404" s="11"/>
      <c r="L404" s="2"/>
    </row>
    <row r="405" spans="1:12" s="28" customFormat="1" ht="31.5" customHeight="1">
      <c r="A405" s="11"/>
      <c r="B405" s="48"/>
      <c r="C405" s="57"/>
      <c r="D405" s="11" t="s">
        <v>22</v>
      </c>
      <c r="E405" s="10"/>
      <c r="F405" s="11"/>
      <c r="G405" s="11">
        <v>5</v>
      </c>
      <c r="H405" s="11" t="s">
        <v>23</v>
      </c>
      <c r="I405" s="10" t="s">
        <v>24</v>
      </c>
      <c r="J405" s="32">
        <v>14</v>
      </c>
      <c r="K405" s="11"/>
      <c r="L405" s="2"/>
    </row>
    <row r="406" spans="1:12" s="28" customFormat="1" ht="31.5" customHeight="1">
      <c r="A406" s="11"/>
      <c r="B406" s="48"/>
      <c r="C406" s="58"/>
      <c r="D406" s="11" t="s">
        <v>119</v>
      </c>
      <c r="E406" s="10"/>
      <c r="F406" s="11">
        <v>21</v>
      </c>
      <c r="G406" s="11">
        <v>100</v>
      </c>
      <c r="H406" s="11" t="s">
        <v>35</v>
      </c>
      <c r="I406" s="10" t="s">
        <v>24</v>
      </c>
      <c r="J406" s="32">
        <v>1.21</v>
      </c>
      <c r="K406" s="11"/>
      <c r="L406" s="2"/>
    </row>
    <row r="407" spans="1:12" s="28" customFormat="1" ht="31.5" customHeight="1">
      <c r="A407" s="11"/>
      <c r="B407" s="48"/>
      <c r="C407" s="56" t="s">
        <v>47</v>
      </c>
      <c r="D407" s="11" t="s">
        <v>42</v>
      </c>
      <c r="E407" s="10">
        <f>8515-1500</f>
        <v>7015</v>
      </c>
      <c r="F407" s="11">
        <v>32</v>
      </c>
      <c r="G407" s="11">
        <v>3000</v>
      </c>
      <c r="H407" s="11" t="s">
        <v>143</v>
      </c>
      <c r="I407" s="10" t="s">
        <v>18</v>
      </c>
      <c r="J407" s="32">
        <f t="shared" ref="J407" si="76">E407*G407/1000000</f>
        <v>21.045000000000002</v>
      </c>
      <c r="K407" s="11" t="s">
        <v>113</v>
      </c>
      <c r="L407" s="2"/>
    </row>
    <row r="408" spans="1:12" s="28" customFormat="1" ht="31.5" customHeight="1">
      <c r="A408" s="11"/>
      <c r="B408" s="48"/>
      <c r="C408" s="57"/>
      <c r="D408" s="11" t="s">
        <v>43</v>
      </c>
      <c r="E408" s="10"/>
      <c r="F408" s="11"/>
      <c r="G408" s="11"/>
      <c r="H408" s="11"/>
      <c r="I408" s="10" t="s">
        <v>18</v>
      </c>
      <c r="J408" s="32">
        <f>J407</f>
        <v>21.045000000000002</v>
      </c>
      <c r="K408" s="11"/>
      <c r="L408" s="2"/>
    </row>
    <row r="409" spans="1:12" s="28" customFormat="1" ht="31.5" customHeight="1">
      <c r="A409" s="11"/>
      <c r="B409" s="48"/>
      <c r="C409" s="57"/>
      <c r="D409" s="11" t="s">
        <v>22</v>
      </c>
      <c r="E409" s="10"/>
      <c r="F409" s="11"/>
      <c r="G409" s="11">
        <v>5</v>
      </c>
      <c r="H409" s="11" t="s">
        <v>23</v>
      </c>
      <c r="I409" s="10" t="s">
        <v>24</v>
      </c>
      <c r="J409" s="32">
        <f>31.2+15</f>
        <v>46.2</v>
      </c>
      <c r="K409" s="11"/>
      <c r="L409" s="2"/>
    </row>
    <row r="410" spans="1:12" s="28" customFormat="1" ht="31.5" customHeight="1">
      <c r="A410" s="11"/>
      <c r="B410" s="49"/>
      <c r="C410" s="58"/>
      <c r="D410" s="11" t="s">
        <v>119</v>
      </c>
      <c r="E410" s="10"/>
      <c r="F410" s="11">
        <v>21</v>
      </c>
      <c r="G410" s="11">
        <v>100</v>
      </c>
      <c r="H410" s="11" t="s">
        <v>35</v>
      </c>
      <c r="I410" s="10" t="s">
        <v>24</v>
      </c>
      <c r="J410" s="32">
        <v>8.52</v>
      </c>
      <c r="K410" s="11"/>
      <c r="L410" s="2"/>
    </row>
    <row r="411" spans="1:12" s="28" customFormat="1" ht="31.5" customHeight="1">
      <c r="A411" s="11"/>
      <c r="B411" s="47">
        <v>0.02</v>
      </c>
      <c r="C411" s="56" t="s">
        <v>54</v>
      </c>
      <c r="D411" s="11" t="s">
        <v>188</v>
      </c>
      <c r="E411" s="10"/>
      <c r="F411" s="11">
        <v>36</v>
      </c>
      <c r="G411" s="11">
        <v>80</v>
      </c>
      <c r="H411" s="11" t="s">
        <v>39</v>
      </c>
      <c r="I411" s="10" t="s">
        <v>18</v>
      </c>
      <c r="J411" s="32">
        <f>(E412*2+G412*4)/1000</f>
        <v>14.86</v>
      </c>
      <c r="K411" s="11"/>
      <c r="L411" s="2"/>
    </row>
    <row r="412" spans="1:12" s="28" customFormat="1" ht="31.5" customHeight="1">
      <c r="A412" s="11"/>
      <c r="B412" s="48"/>
      <c r="C412" s="57"/>
      <c r="D412" s="11" t="s">
        <v>53</v>
      </c>
      <c r="E412" s="10">
        <v>1030</v>
      </c>
      <c r="F412" s="11">
        <v>205</v>
      </c>
      <c r="G412" s="11">
        <v>3200</v>
      </c>
      <c r="H412" s="11" t="s">
        <v>20</v>
      </c>
      <c r="I412" s="10" t="s">
        <v>18</v>
      </c>
      <c r="J412" s="32">
        <f>(E412+G412*2)*F412/1000000</f>
        <v>1.52315</v>
      </c>
      <c r="K412" s="11"/>
      <c r="L412" s="2"/>
    </row>
    <row r="413" spans="1:12" s="28" customFormat="1" ht="31.5" customHeight="1">
      <c r="A413" s="11"/>
      <c r="B413" s="48"/>
      <c r="C413" s="57"/>
      <c r="D413" s="11" t="s">
        <v>65</v>
      </c>
      <c r="E413" s="10">
        <f>E412-160</f>
        <v>870</v>
      </c>
      <c r="F413" s="11">
        <v>50</v>
      </c>
      <c r="G413" s="11">
        <v>2500</v>
      </c>
      <c r="H413" s="11" t="s">
        <v>35</v>
      </c>
      <c r="I413" s="10" t="s">
        <v>18</v>
      </c>
      <c r="J413" s="32">
        <f t="shared" ref="J413" si="77">E413*G413/1000000</f>
        <v>2.1749999999999998</v>
      </c>
      <c r="K413" s="11" t="s">
        <v>67</v>
      </c>
      <c r="L413" s="2"/>
    </row>
    <row r="414" spans="1:12" s="28" customFormat="1" ht="31.5" customHeight="1">
      <c r="A414" s="11"/>
      <c r="B414" s="48"/>
      <c r="C414" s="57"/>
      <c r="D414" s="11" t="s">
        <v>59</v>
      </c>
      <c r="E414" s="10">
        <v>870</v>
      </c>
      <c r="F414" s="11">
        <v>32</v>
      </c>
      <c r="G414" s="11">
        <v>600</v>
      </c>
      <c r="H414" s="11" t="s">
        <v>35</v>
      </c>
      <c r="I414" s="10" t="s">
        <v>18</v>
      </c>
      <c r="J414" s="32">
        <f>E414*G414/1000000*2</f>
        <v>1.044</v>
      </c>
      <c r="K414" s="11"/>
      <c r="L414" s="2"/>
    </row>
    <row r="415" spans="1:12" s="28" customFormat="1" ht="31.5" customHeight="1">
      <c r="A415" s="11"/>
      <c r="B415" s="48"/>
      <c r="C415" s="57"/>
      <c r="D415" s="11" t="s">
        <v>22</v>
      </c>
      <c r="E415" s="10"/>
      <c r="F415" s="11"/>
      <c r="G415" s="11">
        <v>5</v>
      </c>
      <c r="H415" s="11" t="s">
        <v>23</v>
      </c>
      <c r="I415" s="10" t="s">
        <v>24</v>
      </c>
      <c r="J415" s="32">
        <v>7</v>
      </c>
      <c r="K415" s="11"/>
      <c r="L415" s="2"/>
    </row>
    <row r="416" spans="1:12" s="28" customFormat="1" ht="31.5" customHeight="1">
      <c r="A416" s="11"/>
      <c r="B416" s="48"/>
      <c r="C416" s="57"/>
      <c r="D416" s="11" t="s">
        <v>42</v>
      </c>
      <c r="E416" s="10">
        <f>4530-1125-450</f>
        <v>2955</v>
      </c>
      <c r="F416" s="11">
        <v>32</v>
      </c>
      <c r="G416" s="11">
        <v>3000</v>
      </c>
      <c r="H416" s="11" t="s">
        <v>143</v>
      </c>
      <c r="I416" s="10" t="s">
        <v>18</v>
      </c>
      <c r="J416" s="32">
        <f t="shared" ref="J416" si="78">E416*G416/1000000</f>
        <v>8.8650000000000002</v>
      </c>
      <c r="K416" s="11" t="s">
        <v>113</v>
      </c>
      <c r="L416" s="2"/>
    </row>
    <row r="417" spans="1:12" s="28" customFormat="1" ht="31.5" customHeight="1">
      <c r="A417" s="11"/>
      <c r="B417" s="48"/>
      <c r="C417" s="57"/>
      <c r="D417" s="11" t="s">
        <v>43</v>
      </c>
      <c r="E417" s="10"/>
      <c r="F417" s="11"/>
      <c r="G417" s="11"/>
      <c r="H417" s="11"/>
      <c r="I417" s="10" t="s">
        <v>18</v>
      </c>
      <c r="J417" s="32">
        <f>J416</f>
        <v>8.8650000000000002</v>
      </c>
      <c r="K417" s="11"/>
      <c r="L417" s="2"/>
    </row>
    <row r="418" spans="1:12" s="28" customFormat="1" ht="31.5" customHeight="1">
      <c r="A418" s="11"/>
      <c r="B418" s="48"/>
      <c r="C418" s="57"/>
      <c r="D418" s="11" t="s">
        <v>22</v>
      </c>
      <c r="E418" s="10"/>
      <c r="F418" s="11"/>
      <c r="G418" s="11">
        <v>5</v>
      </c>
      <c r="H418" s="11" t="s">
        <v>23</v>
      </c>
      <c r="I418" s="10" t="s">
        <v>24</v>
      </c>
      <c r="J418" s="32">
        <f>19.4</f>
        <v>19.399999999999999</v>
      </c>
      <c r="K418" s="11"/>
      <c r="L418" s="2"/>
    </row>
    <row r="419" spans="1:12" s="28" customFormat="1" ht="31.5" customHeight="1">
      <c r="A419" s="11"/>
      <c r="B419" s="48"/>
      <c r="C419" s="57"/>
      <c r="D419" s="11" t="s">
        <v>42</v>
      </c>
      <c r="E419" s="10">
        <v>450</v>
      </c>
      <c r="F419" s="11">
        <v>32</v>
      </c>
      <c r="G419" s="11">
        <v>3000</v>
      </c>
      <c r="H419" s="11" t="s">
        <v>20</v>
      </c>
      <c r="I419" s="10" t="s">
        <v>18</v>
      </c>
      <c r="J419" s="32">
        <f t="shared" ref="J419" si="79">E419*G419/1000000</f>
        <v>1.35</v>
      </c>
      <c r="K419" s="11"/>
      <c r="L419" s="2"/>
    </row>
    <row r="420" spans="1:12" s="28" customFormat="1" ht="31.5" customHeight="1">
      <c r="A420" s="11"/>
      <c r="B420" s="48"/>
      <c r="C420" s="57"/>
      <c r="D420" s="11" t="s">
        <v>43</v>
      </c>
      <c r="E420" s="10"/>
      <c r="F420" s="11"/>
      <c r="G420" s="11"/>
      <c r="H420" s="11"/>
      <c r="I420" s="10" t="s">
        <v>18</v>
      </c>
      <c r="J420" s="32">
        <f>J419</f>
        <v>1.35</v>
      </c>
      <c r="K420" s="11"/>
      <c r="L420" s="2"/>
    </row>
    <row r="421" spans="1:12" s="28" customFormat="1" ht="31.5" customHeight="1">
      <c r="A421" s="11"/>
      <c r="B421" s="48"/>
      <c r="C421" s="57"/>
      <c r="D421" s="11" t="s">
        <v>22</v>
      </c>
      <c r="E421" s="10"/>
      <c r="F421" s="11"/>
      <c r="G421" s="11">
        <v>5</v>
      </c>
      <c r="H421" s="11" t="s">
        <v>23</v>
      </c>
      <c r="I421" s="10" t="s">
        <v>24</v>
      </c>
      <c r="J421" s="32">
        <v>3.5</v>
      </c>
      <c r="K421" s="11"/>
      <c r="L421" s="2"/>
    </row>
    <row r="422" spans="1:12" s="28" customFormat="1" ht="31.5" customHeight="1">
      <c r="A422" s="11"/>
      <c r="B422" s="48"/>
      <c r="C422" s="58"/>
      <c r="D422" s="11" t="s">
        <v>119</v>
      </c>
      <c r="E422" s="10"/>
      <c r="F422" s="11">
        <v>21</v>
      </c>
      <c r="G422" s="11">
        <v>100</v>
      </c>
      <c r="H422" s="11" t="s">
        <v>35</v>
      </c>
      <c r="I422" s="10" t="s">
        <v>24</v>
      </c>
      <c r="J422" s="32">
        <v>2.4</v>
      </c>
      <c r="K422" s="11"/>
      <c r="L422" s="2"/>
    </row>
    <row r="423" spans="1:12" s="28" customFormat="1" ht="31.5" customHeight="1">
      <c r="A423" s="11"/>
      <c r="B423" s="48"/>
      <c r="C423" s="56" t="s">
        <v>61</v>
      </c>
      <c r="D423" s="11" t="s">
        <v>42</v>
      </c>
      <c r="E423" s="10">
        <f>2390+780</f>
        <v>3170</v>
      </c>
      <c r="F423" s="11">
        <v>32</v>
      </c>
      <c r="G423" s="11">
        <v>3000</v>
      </c>
      <c r="H423" s="11" t="s">
        <v>143</v>
      </c>
      <c r="I423" s="10" t="s">
        <v>18</v>
      </c>
      <c r="J423" s="32">
        <f t="shared" ref="J423" si="80">E423*G423/1000000</f>
        <v>9.51</v>
      </c>
      <c r="K423" s="11" t="s">
        <v>113</v>
      </c>
      <c r="L423" s="2"/>
    </row>
    <row r="424" spans="1:12" s="28" customFormat="1" ht="31.5" customHeight="1">
      <c r="A424" s="11"/>
      <c r="B424" s="48"/>
      <c r="C424" s="57"/>
      <c r="D424" s="11" t="s">
        <v>43</v>
      </c>
      <c r="E424" s="10"/>
      <c r="F424" s="11"/>
      <c r="G424" s="11"/>
      <c r="H424" s="11"/>
      <c r="I424" s="10" t="s">
        <v>18</v>
      </c>
      <c r="J424" s="32">
        <f>J423</f>
        <v>9.51</v>
      </c>
      <c r="K424" s="11"/>
      <c r="L424" s="2"/>
    </row>
    <row r="425" spans="1:12" s="28" customFormat="1" ht="31.5" customHeight="1">
      <c r="A425" s="11"/>
      <c r="B425" s="48"/>
      <c r="C425" s="57"/>
      <c r="D425" s="11" t="s">
        <v>22</v>
      </c>
      <c r="E425" s="10"/>
      <c r="F425" s="11"/>
      <c r="G425" s="11">
        <v>5</v>
      </c>
      <c r="H425" s="11" t="s">
        <v>23</v>
      </c>
      <c r="I425" s="10" t="s">
        <v>24</v>
      </c>
      <c r="J425" s="32">
        <f>15.6+10</f>
        <v>25.6</v>
      </c>
      <c r="K425" s="11"/>
      <c r="L425" s="2"/>
    </row>
    <row r="426" spans="1:12" s="28" customFormat="1" ht="31.5" customHeight="1">
      <c r="A426" s="11"/>
      <c r="B426" s="48"/>
      <c r="C426" s="57"/>
      <c r="D426" s="11" t="s">
        <v>189</v>
      </c>
      <c r="E426" s="10"/>
      <c r="F426" s="11">
        <v>36</v>
      </c>
      <c r="G426" s="11">
        <v>80</v>
      </c>
      <c r="H426" s="11" t="s">
        <v>39</v>
      </c>
      <c r="I426" s="10" t="s">
        <v>18</v>
      </c>
      <c r="J426" s="32">
        <f>(E427*2+G427*4)/1000</f>
        <v>15.66</v>
      </c>
      <c r="K426" s="11"/>
      <c r="L426" s="2"/>
    </row>
    <row r="427" spans="1:12" s="28" customFormat="1" ht="31.5" customHeight="1">
      <c r="A427" s="11"/>
      <c r="B427" s="48"/>
      <c r="C427" s="57"/>
      <c r="D427" s="11" t="s">
        <v>53</v>
      </c>
      <c r="E427" s="10">
        <f>1280+150</f>
        <v>1430</v>
      </c>
      <c r="F427" s="11">
        <v>205</v>
      </c>
      <c r="G427" s="11">
        <v>3200</v>
      </c>
      <c r="H427" s="11" t="s">
        <v>20</v>
      </c>
      <c r="I427" s="10" t="s">
        <v>18</v>
      </c>
      <c r="J427" s="32">
        <f>(E427+G427*2)*F427/1000000</f>
        <v>1.6051500000000001</v>
      </c>
      <c r="K427" s="11"/>
      <c r="L427" s="2"/>
    </row>
    <row r="428" spans="1:12" s="28" customFormat="1" ht="31.5" customHeight="1">
      <c r="A428" s="11"/>
      <c r="B428" s="48"/>
      <c r="C428" s="57"/>
      <c r="D428" s="11" t="s">
        <v>42</v>
      </c>
      <c r="E428" s="10">
        <f>375+455+150</f>
        <v>980</v>
      </c>
      <c r="F428" s="11">
        <v>32</v>
      </c>
      <c r="G428" s="11">
        <v>3000</v>
      </c>
      <c r="H428" s="11" t="s">
        <v>143</v>
      </c>
      <c r="I428" s="10" t="s">
        <v>18</v>
      </c>
      <c r="J428" s="32">
        <f t="shared" ref="J428" si="81">E428*G428/1000000</f>
        <v>2.94</v>
      </c>
      <c r="K428" s="11" t="s">
        <v>113</v>
      </c>
      <c r="L428" s="2"/>
    </row>
    <row r="429" spans="1:12" s="28" customFormat="1" ht="31.5" customHeight="1">
      <c r="A429" s="11"/>
      <c r="B429" s="48"/>
      <c r="C429" s="57"/>
      <c r="D429" s="11" t="s">
        <v>43</v>
      </c>
      <c r="E429" s="10"/>
      <c r="F429" s="11"/>
      <c r="G429" s="11"/>
      <c r="H429" s="11"/>
      <c r="I429" s="10" t="s">
        <v>18</v>
      </c>
      <c r="J429" s="32">
        <f>J428</f>
        <v>2.94</v>
      </c>
      <c r="K429" s="11"/>
      <c r="L429" s="2"/>
    </row>
    <row r="430" spans="1:12" s="28" customFormat="1" ht="31.5" customHeight="1">
      <c r="A430" s="11"/>
      <c r="B430" s="48"/>
      <c r="C430" s="57"/>
      <c r="D430" s="11" t="s">
        <v>22</v>
      </c>
      <c r="E430" s="10"/>
      <c r="F430" s="11"/>
      <c r="G430" s="11">
        <v>5</v>
      </c>
      <c r="H430" s="11" t="s">
        <v>23</v>
      </c>
      <c r="I430" s="10" t="s">
        <v>24</v>
      </c>
      <c r="J430" s="32">
        <f>7.5</f>
        <v>7.5</v>
      </c>
      <c r="K430" s="11"/>
      <c r="L430" s="2"/>
    </row>
    <row r="431" spans="1:12" s="28" customFormat="1" ht="31.5" customHeight="1">
      <c r="A431" s="11"/>
      <c r="B431" s="48"/>
      <c r="C431" s="57"/>
      <c r="D431" s="11" t="s">
        <v>190</v>
      </c>
      <c r="E431" s="10">
        <f>2700+150</f>
        <v>2850</v>
      </c>
      <c r="F431" s="11">
        <v>15</v>
      </c>
      <c r="G431" s="11">
        <v>3000</v>
      </c>
      <c r="H431" s="11" t="s">
        <v>191</v>
      </c>
      <c r="I431" s="10" t="s">
        <v>18</v>
      </c>
      <c r="J431" s="32">
        <f t="shared" ref="J431" si="82">E431*G431/1000000</f>
        <v>8.5500000000000007</v>
      </c>
      <c r="K431" s="11" t="s">
        <v>192</v>
      </c>
      <c r="L431" s="2"/>
    </row>
    <row r="432" spans="1:12" s="28" customFormat="1" ht="31.5" customHeight="1">
      <c r="A432" s="11"/>
      <c r="B432" s="48"/>
      <c r="C432" s="57"/>
      <c r="D432" s="11" t="s">
        <v>43</v>
      </c>
      <c r="E432" s="10"/>
      <c r="F432" s="11"/>
      <c r="G432" s="11"/>
      <c r="H432" s="11"/>
      <c r="I432" s="10" t="s">
        <v>18</v>
      </c>
      <c r="J432" s="32">
        <f>J431</f>
        <v>8.5500000000000007</v>
      </c>
      <c r="K432" s="11"/>
      <c r="L432" s="2"/>
    </row>
    <row r="433" spans="1:12" s="28" customFormat="1" ht="31.5" customHeight="1">
      <c r="A433" s="11"/>
      <c r="B433" s="48"/>
      <c r="C433" s="57"/>
      <c r="D433" s="11" t="s">
        <v>22</v>
      </c>
      <c r="E433" s="10"/>
      <c r="F433" s="11"/>
      <c r="G433" s="11">
        <v>20</v>
      </c>
      <c r="H433" s="11" t="s">
        <v>23</v>
      </c>
      <c r="I433" s="10" t="s">
        <v>24</v>
      </c>
      <c r="J433" s="32">
        <f>11.24+5.4</f>
        <v>16.64</v>
      </c>
      <c r="K433" s="11"/>
      <c r="L433" s="2"/>
    </row>
    <row r="434" spans="1:12" s="28" customFormat="1" ht="31.5" customHeight="1">
      <c r="A434" s="11"/>
      <c r="B434" s="49"/>
      <c r="C434" s="58"/>
      <c r="D434" s="11" t="s">
        <v>119</v>
      </c>
      <c r="E434" s="10"/>
      <c r="F434" s="11">
        <v>21</v>
      </c>
      <c r="G434" s="11">
        <v>100</v>
      </c>
      <c r="H434" s="11" t="s">
        <v>35</v>
      </c>
      <c r="I434" s="10" t="s">
        <v>24</v>
      </c>
      <c r="J434" s="32">
        <f>2.39+7.8+0.38+0.15+2.7+0.15+0.5</f>
        <v>14.07</v>
      </c>
      <c r="K434" s="11"/>
      <c r="L434" s="2"/>
    </row>
    <row r="435" spans="1:12" s="28" customFormat="1" ht="31.5" customHeight="1">
      <c r="A435" s="41" t="s">
        <v>193</v>
      </c>
      <c r="B435" s="42"/>
      <c r="C435" s="10"/>
      <c r="D435" s="11"/>
      <c r="E435" s="10"/>
      <c r="F435" s="11"/>
      <c r="G435" s="11"/>
      <c r="H435" s="11"/>
      <c r="I435" s="10"/>
      <c r="J435" s="32"/>
      <c r="K435" s="11"/>
      <c r="L435" s="2"/>
    </row>
    <row r="436" spans="1:12" s="28" customFormat="1" ht="31.5" customHeight="1">
      <c r="A436" s="11"/>
      <c r="B436" s="47">
        <v>2E-3</v>
      </c>
      <c r="C436" s="56" t="s">
        <v>15</v>
      </c>
      <c r="D436" s="11" t="s">
        <v>127</v>
      </c>
      <c r="E436" s="10"/>
      <c r="F436" s="11">
        <v>36</v>
      </c>
      <c r="G436" s="11">
        <v>80</v>
      </c>
      <c r="H436" s="11" t="s">
        <v>39</v>
      </c>
      <c r="I436" s="10" t="s">
        <v>18</v>
      </c>
      <c r="J436" s="32">
        <f>(E437*2+G437*4)/1000</f>
        <v>13.76</v>
      </c>
      <c r="K436" s="11"/>
      <c r="L436" s="2"/>
    </row>
    <row r="437" spans="1:12" s="28" customFormat="1" ht="31.5" customHeight="1">
      <c r="A437" s="11"/>
      <c r="B437" s="48"/>
      <c r="C437" s="57"/>
      <c r="D437" s="11" t="s">
        <v>53</v>
      </c>
      <c r="E437" s="10">
        <v>880</v>
      </c>
      <c r="F437" s="11">
        <v>200</v>
      </c>
      <c r="G437" s="11">
        <v>3000</v>
      </c>
      <c r="H437" s="11" t="s">
        <v>20</v>
      </c>
      <c r="I437" s="10" t="s">
        <v>18</v>
      </c>
      <c r="J437" s="32">
        <f>(E437+G437*2)*F437/1000000</f>
        <v>1.3759999999999999</v>
      </c>
      <c r="K437" s="11"/>
      <c r="L437" s="2"/>
    </row>
    <row r="438" spans="1:12" s="28" customFormat="1" ht="31.5" customHeight="1">
      <c r="A438" s="11"/>
      <c r="B438" s="48"/>
      <c r="C438" s="57"/>
      <c r="D438" s="11" t="s">
        <v>65</v>
      </c>
      <c r="E438" s="10">
        <f>E437-160</f>
        <v>720</v>
      </c>
      <c r="F438" s="11">
        <v>50</v>
      </c>
      <c r="G438" s="11">
        <v>2400</v>
      </c>
      <c r="H438" s="11" t="s">
        <v>35</v>
      </c>
      <c r="I438" s="10" t="s">
        <v>18</v>
      </c>
      <c r="J438" s="32">
        <f t="shared" ref="J438" si="83">E438*G438/1000000</f>
        <v>1.728</v>
      </c>
      <c r="K438" s="11" t="s">
        <v>67</v>
      </c>
      <c r="L438" s="2"/>
    </row>
    <row r="439" spans="1:12" s="28" customFormat="1" ht="31.5" customHeight="1">
      <c r="A439" s="11"/>
      <c r="B439" s="48"/>
      <c r="C439" s="57"/>
      <c r="D439" s="11" t="s">
        <v>22</v>
      </c>
      <c r="E439" s="10"/>
      <c r="F439" s="11"/>
      <c r="G439" s="11">
        <v>5</v>
      </c>
      <c r="H439" s="11" t="s">
        <v>23</v>
      </c>
      <c r="I439" s="10" t="s">
        <v>24</v>
      </c>
      <c r="J439" s="32">
        <v>6.5</v>
      </c>
      <c r="K439" s="11"/>
      <c r="L439" s="2"/>
    </row>
    <row r="440" spans="1:12" s="28" customFormat="1" ht="31.5" customHeight="1">
      <c r="A440" s="11"/>
      <c r="B440" s="48"/>
      <c r="C440" s="57"/>
      <c r="D440" s="11" t="s">
        <v>59</v>
      </c>
      <c r="E440" s="10">
        <v>720</v>
      </c>
      <c r="F440" s="11">
        <v>32</v>
      </c>
      <c r="G440" s="11">
        <v>600</v>
      </c>
      <c r="H440" s="11" t="s">
        <v>35</v>
      </c>
      <c r="I440" s="10" t="s">
        <v>18</v>
      </c>
      <c r="J440" s="32">
        <f t="shared" ref="J440:J444" si="84">E440*G440/1000000</f>
        <v>0.432</v>
      </c>
      <c r="K440" s="11"/>
      <c r="L440" s="2"/>
    </row>
    <row r="441" spans="1:12" s="28" customFormat="1" ht="31.5" customHeight="1">
      <c r="A441" s="11"/>
      <c r="B441" s="48"/>
      <c r="C441" s="58"/>
      <c r="D441" s="11" t="s">
        <v>59</v>
      </c>
      <c r="E441" s="10">
        <v>720</v>
      </c>
      <c r="F441" s="11">
        <v>32</v>
      </c>
      <c r="G441" s="11">
        <v>400</v>
      </c>
      <c r="H441" s="11" t="s">
        <v>35</v>
      </c>
      <c r="I441" s="10" t="s">
        <v>18</v>
      </c>
      <c r="J441" s="32">
        <f t="shared" si="84"/>
        <v>0.28799999999999998</v>
      </c>
      <c r="K441" s="11"/>
      <c r="L441" s="2"/>
    </row>
    <row r="442" spans="1:12" s="28" customFormat="1" ht="31.5" customHeight="1">
      <c r="A442" s="11"/>
      <c r="B442" s="48"/>
      <c r="C442" s="56" t="s">
        <v>47</v>
      </c>
      <c r="D442" s="11" t="s">
        <v>116</v>
      </c>
      <c r="E442" s="10">
        <v>1970</v>
      </c>
      <c r="F442" s="11">
        <v>600</v>
      </c>
      <c r="G442" s="11">
        <v>610</v>
      </c>
      <c r="H442" s="11" t="s">
        <v>171</v>
      </c>
      <c r="I442" s="10" t="s">
        <v>18</v>
      </c>
      <c r="J442" s="32">
        <f t="shared" si="84"/>
        <v>1.2017</v>
      </c>
      <c r="K442" s="11"/>
      <c r="L442" s="2"/>
    </row>
    <row r="443" spans="1:12" s="28" customFormat="1" ht="31.5" customHeight="1">
      <c r="A443" s="11"/>
      <c r="B443" s="48"/>
      <c r="C443" s="57"/>
      <c r="D443" s="11" t="s">
        <v>89</v>
      </c>
      <c r="E443" s="10">
        <v>1520</v>
      </c>
      <c r="F443" s="11">
        <v>22</v>
      </c>
      <c r="G443" s="11">
        <v>540</v>
      </c>
      <c r="H443" s="11" t="s">
        <v>172</v>
      </c>
      <c r="I443" s="10" t="s">
        <v>18</v>
      </c>
      <c r="J443" s="32">
        <f t="shared" si="84"/>
        <v>0.82079999999999997</v>
      </c>
      <c r="K443" s="11"/>
      <c r="L443" s="2"/>
    </row>
    <row r="444" spans="1:12" s="28" customFormat="1" ht="31.5" customHeight="1">
      <c r="A444" s="11"/>
      <c r="B444" s="49"/>
      <c r="C444" s="58"/>
      <c r="D444" s="11" t="s">
        <v>173</v>
      </c>
      <c r="E444" s="10">
        <v>1400</v>
      </c>
      <c r="F444" s="11">
        <v>50</v>
      </c>
      <c r="G444" s="11">
        <v>1990</v>
      </c>
      <c r="H444" s="11" t="s">
        <v>174</v>
      </c>
      <c r="I444" s="10" t="s">
        <v>18</v>
      </c>
      <c r="J444" s="32">
        <f t="shared" si="84"/>
        <v>2.786</v>
      </c>
      <c r="K444" s="11"/>
      <c r="L444" s="2"/>
    </row>
    <row r="445" spans="1:12" s="28" customFormat="1" ht="31.5" customHeight="1">
      <c r="A445" s="43" t="s">
        <v>194</v>
      </c>
      <c r="B445" s="44"/>
      <c r="C445" s="10"/>
      <c r="D445" s="11"/>
      <c r="E445" s="10"/>
      <c r="F445" s="11"/>
      <c r="G445" s="11"/>
      <c r="H445" s="11"/>
      <c r="I445" s="10"/>
      <c r="J445" s="32"/>
      <c r="K445" s="11"/>
      <c r="L445" s="2"/>
    </row>
    <row r="446" spans="1:12" s="28" customFormat="1" ht="31.5" customHeight="1">
      <c r="A446" s="11"/>
      <c r="B446" s="47">
        <v>2.0000000000000001E-4</v>
      </c>
      <c r="C446" s="10" t="s">
        <v>15</v>
      </c>
      <c r="D446" s="11" t="s">
        <v>119</v>
      </c>
      <c r="E446" s="10"/>
      <c r="F446" s="11">
        <v>21</v>
      </c>
      <c r="G446" s="11">
        <v>100</v>
      </c>
      <c r="H446" s="11" t="s">
        <v>35</v>
      </c>
      <c r="I446" s="10" t="s">
        <v>24</v>
      </c>
      <c r="J446" s="32">
        <v>1.1000000000000001</v>
      </c>
      <c r="K446" s="11"/>
      <c r="L446" s="2"/>
    </row>
    <row r="447" spans="1:12" s="28" customFormat="1" ht="31.5" customHeight="1">
      <c r="A447" s="11"/>
      <c r="B447" s="48"/>
      <c r="C447" s="56" t="s">
        <v>47</v>
      </c>
      <c r="D447" s="11" t="s">
        <v>162</v>
      </c>
      <c r="E447" s="10">
        <v>2150</v>
      </c>
      <c r="F447" s="11">
        <v>580</v>
      </c>
      <c r="G447" s="11">
        <v>3000</v>
      </c>
      <c r="H447" s="11" t="s">
        <v>20</v>
      </c>
      <c r="I447" s="10" t="s">
        <v>18</v>
      </c>
      <c r="J447" s="32">
        <f t="shared" ref="J447:J448" si="85">E447*G447/1000000</f>
        <v>6.45</v>
      </c>
      <c r="K447" s="11"/>
      <c r="L447" s="2"/>
    </row>
    <row r="448" spans="1:12" s="28" customFormat="1" ht="31.5" customHeight="1">
      <c r="A448" s="11"/>
      <c r="B448" s="48"/>
      <c r="C448" s="57"/>
      <c r="D448" s="11" t="s">
        <v>163</v>
      </c>
      <c r="E448" s="10">
        <v>2050</v>
      </c>
      <c r="F448" s="11">
        <v>22</v>
      </c>
      <c r="G448" s="11">
        <v>2850</v>
      </c>
      <c r="H448" s="11" t="s">
        <v>35</v>
      </c>
      <c r="I448" s="10" t="s">
        <v>18</v>
      </c>
      <c r="J448" s="32">
        <f t="shared" si="85"/>
        <v>5.8425000000000002</v>
      </c>
      <c r="K448" s="11"/>
      <c r="L448" s="2"/>
    </row>
    <row r="449" spans="1:12" s="28" customFormat="1" ht="31.5" customHeight="1">
      <c r="A449" s="11"/>
      <c r="B449" s="48"/>
      <c r="C449" s="57"/>
      <c r="D449" s="11" t="s">
        <v>164</v>
      </c>
      <c r="E449" s="10">
        <v>446</v>
      </c>
      <c r="F449" s="11">
        <v>424</v>
      </c>
      <c r="G449" s="11">
        <v>160</v>
      </c>
      <c r="H449" s="11" t="s">
        <v>165</v>
      </c>
      <c r="I449" s="10" t="s">
        <v>33</v>
      </c>
      <c r="J449" s="32">
        <v>3</v>
      </c>
      <c r="K449" s="11"/>
      <c r="L449" s="2"/>
    </row>
    <row r="450" spans="1:12" s="28" customFormat="1" ht="31.5" customHeight="1">
      <c r="A450" s="11"/>
      <c r="B450" s="48"/>
      <c r="C450" s="58"/>
      <c r="D450" s="11" t="s">
        <v>119</v>
      </c>
      <c r="E450" s="10"/>
      <c r="F450" s="11">
        <v>21</v>
      </c>
      <c r="G450" s="11">
        <v>100</v>
      </c>
      <c r="H450" s="11" t="s">
        <v>35</v>
      </c>
      <c r="I450" s="10" t="s">
        <v>24</v>
      </c>
      <c r="J450" s="32">
        <v>4.05</v>
      </c>
      <c r="K450" s="11"/>
      <c r="L450" s="2"/>
    </row>
    <row r="451" spans="1:12" s="28" customFormat="1" ht="31.5" customHeight="1">
      <c r="A451" s="11"/>
      <c r="B451" s="48"/>
      <c r="C451" s="56" t="s">
        <v>54</v>
      </c>
      <c r="D451" s="11" t="s">
        <v>195</v>
      </c>
      <c r="E451" s="10"/>
      <c r="F451" s="11">
        <v>36</v>
      </c>
      <c r="G451" s="11">
        <v>80</v>
      </c>
      <c r="H451" s="11" t="s">
        <v>39</v>
      </c>
      <c r="I451" s="10" t="s">
        <v>18</v>
      </c>
      <c r="J451" s="32">
        <f>(E452*2+G452*4)/1000</f>
        <v>13.82</v>
      </c>
      <c r="K451" s="11"/>
      <c r="L451" s="2"/>
    </row>
    <row r="452" spans="1:12" s="28" customFormat="1" ht="31.5" customHeight="1">
      <c r="A452" s="11"/>
      <c r="B452" s="48"/>
      <c r="C452" s="57"/>
      <c r="D452" s="11" t="s">
        <v>53</v>
      </c>
      <c r="E452" s="10">
        <v>910</v>
      </c>
      <c r="F452" s="11">
        <v>205</v>
      </c>
      <c r="G452" s="11">
        <v>3000</v>
      </c>
      <c r="H452" s="11" t="s">
        <v>20</v>
      </c>
      <c r="I452" s="10" t="s">
        <v>18</v>
      </c>
      <c r="J452" s="32">
        <f>(E452+G452*2)*F452/1000000</f>
        <v>1.41655</v>
      </c>
      <c r="K452" s="11"/>
      <c r="L452" s="2"/>
    </row>
    <row r="453" spans="1:12" s="28" customFormat="1" ht="31.5" customHeight="1">
      <c r="A453" s="11"/>
      <c r="B453" s="48"/>
      <c r="C453" s="57"/>
      <c r="D453" s="11" t="s">
        <v>65</v>
      </c>
      <c r="E453" s="10">
        <f>E452-160</f>
        <v>750</v>
      </c>
      <c r="F453" s="11">
        <v>50</v>
      </c>
      <c r="G453" s="11">
        <v>2400</v>
      </c>
      <c r="H453" s="11" t="s">
        <v>35</v>
      </c>
      <c r="I453" s="10" t="s">
        <v>18</v>
      </c>
      <c r="J453" s="32">
        <f t="shared" ref="J453" si="86">E453*G453/1000000</f>
        <v>1.8</v>
      </c>
      <c r="K453" s="11" t="s">
        <v>67</v>
      </c>
      <c r="L453" s="2"/>
    </row>
    <row r="454" spans="1:12" s="28" customFormat="1" ht="31.5" customHeight="1">
      <c r="A454" s="11"/>
      <c r="B454" s="48"/>
      <c r="C454" s="57"/>
      <c r="D454" s="11" t="s">
        <v>22</v>
      </c>
      <c r="E454" s="10"/>
      <c r="F454" s="11"/>
      <c r="G454" s="11">
        <v>5</v>
      </c>
      <c r="H454" s="11" t="s">
        <v>23</v>
      </c>
      <c r="I454" s="10" t="s">
        <v>24</v>
      </c>
      <c r="J454" s="32">
        <v>6.5</v>
      </c>
      <c r="K454" s="11"/>
      <c r="L454" s="2"/>
    </row>
    <row r="455" spans="1:12" s="28" customFormat="1" ht="31.5" customHeight="1">
      <c r="A455" s="11"/>
      <c r="B455" s="48"/>
      <c r="C455" s="57"/>
      <c r="D455" s="11" t="s">
        <v>59</v>
      </c>
      <c r="E455" s="10">
        <v>720</v>
      </c>
      <c r="F455" s="11">
        <v>32</v>
      </c>
      <c r="G455" s="11">
        <v>600</v>
      </c>
      <c r="H455" s="11" t="s">
        <v>35</v>
      </c>
      <c r="I455" s="10" t="s">
        <v>18</v>
      </c>
      <c r="J455" s="32">
        <f>E455*G455/1000000*2</f>
        <v>0.86399999999999999</v>
      </c>
      <c r="K455" s="11"/>
      <c r="L455" s="2"/>
    </row>
    <row r="456" spans="1:12" s="28" customFormat="1" ht="31.5" customHeight="1">
      <c r="A456" s="11"/>
      <c r="B456" s="48"/>
      <c r="C456" s="58"/>
      <c r="D456" s="11" t="s">
        <v>119</v>
      </c>
      <c r="E456" s="10"/>
      <c r="F456" s="11">
        <v>21</v>
      </c>
      <c r="G456" s="11">
        <v>100</v>
      </c>
      <c r="H456" s="11" t="s">
        <v>35</v>
      </c>
      <c r="I456" s="10" t="s">
        <v>24</v>
      </c>
      <c r="J456" s="32">
        <v>4.05</v>
      </c>
      <c r="K456" s="11"/>
      <c r="L456" s="2"/>
    </row>
    <row r="457" spans="1:12" s="28" customFormat="1" ht="31.5" customHeight="1">
      <c r="A457" s="11"/>
      <c r="B457" s="49"/>
      <c r="C457" s="10" t="s">
        <v>61</v>
      </c>
      <c r="D457" s="11" t="s">
        <v>119</v>
      </c>
      <c r="E457" s="10"/>
      <c r="F457" s="11">
        <v>21</v>
      </c>
      <c r="G457" s="11">
        <v>100</v>
      </c>
      <c r="H457" s="11" t="s">
        <v>35</v>
      </c>
      <c r="I457" s="10" t="s">
        <v>24</v>
      </c>
      <c r="J457" s="32">
        <v>4.05</v>
      </c>
      <c r="K457" s="11"/>
      <c r="L457" s="2"/>
    </row>
    <row r="458" spans="1:12" s="28" customFormat="1" ht="31.5" customHeight="1">
      <c r="A458" s="41" t="s">
        <v>196</v>
      </c>
      <c r="B458" s="42"/>
      <c r="C458" s="10"/>
      <c r="D458" s="11"/>
      <c r="E458" s="10"/>
      <c r="F458" s="11"/>
      <c r="G458" s="11"/>
      <c r="H458" s="11"/>
      <c r="I458" s="10"/>
      <c r="J458" s="32"/>
      <c r="K458" s="11"/>
      <c r="L458" s="2"/>
    </row>
    <row r="459" spans="1:12" s="28" customFormat="1" ht="31.5" customHeight="1">
      <c r="A459" s="11"/>
      <c r="B459" s="47">
        <v>2.0000000000000002E-5</v>
      </c>
      <c r="C459" s="10" t="s">
        <v>15</v>
      </c>
      <c r="D459" s="11" t="s">
        <v>119</v>
      </c>
      <c r="E459" s="10"/>
      <c r="F459" s="11">
        <v>21</v>
      </c>
      <c r="G459" s="11">
        <v>100</v>
      </c>
      <c r="H459" s="11" t="s">
        <v>35</v>
      </c>
      <c r="I459" s="10" t="s">
        <v>24</v>
      </c>
      <c r="J459" s="32">
        <v>3.94</v>
      </c>
      <c r="K459" s="11"/>
      <c r="L459" s="2"/>
    </row>
    <row r="460" spans="1:12" s="28" customFormat="1" ht="31.5" customHeight="1">
      <c r="A460" s="11"/>
      <c r="B460" s="48"/>
      <c r="C460" s="56" t="s">
        <v>47</v>
      </c>
      <c r="D460" s="11" t="s">
        <v>42</v>
      </c>
      <c r="E460" s="10">
        <f>4050-800</f>
        <v>3250</v>
      </c>
      <c r="F460" s="11">
        <v>32</v>
      </c>
      <c r="G460" s="11">
        <v>3000</v>
      </c>
      <c r="H460" s="11" t="s">
        <v>143</v>
      </c>
      <c r="I460" s="10" t="s">
        <v>18</v>
      </c>
      <c r="J460" s="32">
        <f t="shared" ref="J460" si="87">E460*G460/1000000</f>
        <v>9.75</v>
      </c>
      <c r="K460" s="11" t="s">
        <v>113</v>
      </c>
      <c r="L460" s="2"/>
    </row>
    <row r="461" spans="1:12" s="28" customFormat="1" ht="31.5" customHeight="1">
      <c r="A461" s="11"/>
      <c r="B461" s="48"/>
      <c r="C461" s="57"/>
      <c r="D461" s="11" t="s">
        <v>43</v>
      </c>
      <c r="E461" s="10"/>
      <c r="F461" s="11"/>
      <c r="G461" s="11"/>
      <c r="H461" s="11"/>
      <c r="I461" s="10" t="s">
        <v>18</v>
      </c>
      <c r="J461" s="32">
        <f>J460</f>
        <v>9.75</v>
      </c>
      <c r="K461" s="11"/>
      <c r="L461" s="2"/>
    </row>
    <row r="462" spans="1:12" s="28" customFormat="1" ht="31.5" customHeight="1">
      <c r="A462" s="11"/>
      <c r="B462" s="48"/>
      <c r="C462" s="58"/>
      <c r="D462" s="11" t="s">
        <v>22</v>
      </c>
      <c r="E462" s="10"/>
      <c r="F462" s="11"/>
      <c r="G462" s="11">
        <v>5</v>
      </c>
      <c r="H462" s="11" t="s">
        <v>23</v>
      </c>
      <c r="I462" s="10" t="s">
        <v>24</v>
      </c>
      <c r="J462" s="32">
        <v>12.8</v>
      </c>
      <c r="K462" s="11"/>
      <c r="L462" s="2"/>
    </row>
    <row r="463" spans="1:12" s="28" customFormat="1" ht="31.5" customHeight="1">
      <c r="A463" s="11"/>
      <c r="B463" s="48"/>
      <c r="C463" s="56" t="s">
        <v>54</v>
      </c>
      <c r="D463" s="11" t="s">
        <v>162</v>
      </c>
      <c r="E463" s="10">
        <v>2600</v>
      </c>
      <c r="F463" s="11">
        <v>580</v>
      </c>
      <c r="G463" s="11">
        <v>3000</v>
      </c>
      <c r="H463" s="11" t="s">
        <v>20</v>
      </c>
      <c r="I463" s="10" t="s">
        <v>18</v>
      </c>
      <c r="J463" s="32">
        <f t="shared" ref="J463:J464" si="88">E463*G463/1000000</f>
        <v>7.8</v>
      </c>
      <c r="K463" s="11"/>
      <c r="L463" s="2"/>
    </row>
    <row r="464" spans="1:12" s="28" customFormat="1" ht="31.5" customHeight="1">
      <c r="A464" s="11"/>
      <c r="B464" s="48"/>
      <c r="C464" s="57"/>
      <c r="D464" s="11" t="s">
        <v>163</v>
      </c>
      <c r="E464" s="10">
        <v>2500</v>
      </c>
      <c r="F464" s="11">
        <v>22</v>
      </c>
      <c r="G464" s="11">
        <v>2850</v>
      </c>
      <c r="H464" s="11" t="s">
        <v>35</v>
      </c>
      <c r="I464" s="10" t="s">
        <v>18</v>
      </c>
      <c r="J464" s="32">
        <f t="shared" si="88"/>
        <v>7.125</v>
      </c>
      <c r="K464" s="11"/>
      <c r="L464" s="2"/>
    </row>
    <row r="465" spans="1:12" s="28" customFormat="1" ht="31.5" customHeight="1">
      <c r="A465" s="11"/>
      <c r="B465" s="48"/>
      <c r="C465" s="57"/>
      <c r="D465" s="11" t="s">
        <v>195</v>
      </c>
      <c r="E465" s="10"/>
      <c r="F465" s="11">
        <v>36</v>
      </c>
      <c r="G465" s="11">
        <v>80</v>
      </c>
      <c r="H465" s="11" t="s">
        <v>39</v>
      </c>
      <c r="I465" s="10" t="s">
        <v>18</v>
      </c>
      <c r="J465" s="32">
        <f>(E466*2+G466*4)/1000</f>
        <v>13.82</v>
      </c>
      <c r="K465" s="11"/>
      <c r="L465" s="2"/>
    </row>
    <row r="466" spans="1:12" s="28" customFormat="1" ht="31.5" customHeight="1">
      <c r="A466" s="11"/>
      <c r="B466" s="48"/>
      <c r="C466" s="57"/>
      <c r="D466" s="11" t="s">
        <v>53</v>
      </c>
      <c r="E466" s="10">
        <v>910</v>
      </c>
      <c r="F466" s="11">
        <v>205</v>
      </c>
      <c r="G466" s="11">
        <v>3000</v>
      </c>
      <c r="H466" s="11" t="s">
        <v>20</v>
      </c>
      <c r="I466" s="10" t="s">
        <v>18</v>
      </c>
      <c r="J466" s="32">
        <f>(E466+G466*2)*F466/1000000</f>
        <v>1.41655</v>
      </c>
      <c r="K466" s="11"/>
      <c r="L466" s="2"/>
    </row>
    <row r="467" spans="1:12" s="28" customFormat="1" ht="31.5" customHeight="1">
      <c r="A467" s="11"/>
      <c r="B467" s="48"/>
      <c r="C467" s="57"/>
      <c r="D467" s="11" t="s">
        <v>65</v>
      </c>
      <c r="E467" s="10">
        <f>E466-160</f>
        <v>750</v>
      </c>
      <c r="F467" s="11">
        <v>50</v>
      </c>
      <c r="G467" s="11">
        <v>2400</v>
      </c>
      <c r="H467" s="11" t="s">
        <v>66</v>
      </c>
      <c r="I467" s="10" t="s">
        <v>18</v>
      </c>
      <c r="J467" s="32">
        <f t="shared" ref="J467" si="89">E467*G467/1000000</f>
        <v>1.8</v>
      </c>
      <c r="K467" s="11" t="s">
        <v>67</v>
      </c>
      <c r="L467" s="2"/>
    </row>
    <row r="468" spans="1:12" s="28" customFormat="1" ht="31.5" customHeight="1">
      <c r="A468" s="11"/>
      <c r="B468" s="48"/>
      <c r="C468" s="57"/>
      <c r="D468" s="11" t="s">
        <v>22</v>
      </c>
      <c r="E468" s="10"/>
      <c r="F468" s="11"/>
      <c r="G468" s="11">
        <v>5</v>
      </c>
      <c r="H468" s="11" t="s">
        <v>23</v>
      </c>
      <c r="I468" s="10" t="s">
        <v>24</v>
      </c>
      <c r="J468" s="32">
        <v>6.5</v>
      </c>
      <c r="K468" s="11"/>
      <c r="L468" s="2"/>
    </row>
    <row r="469" spans="1:12" s="28" customFormat="1" ht="31.5" customHeight="1">
      <c r="A469" s="11"/>
      <c r="B469" s="48"/>
      <c r="C469" s="57"/>
      <c r="D469" s="11" t="s">
        <v>59</v>
      </c>
      <c r="E469" s="10">
        <v>720</v>
      </c>
      <c r="F469" s="11">
        <v>32</v>
      </c>
      <c r="G469" s="11">
        <v>600</v>
      </c>
      <c r="H469" s="11" t="s">
        <v>35</v>
      </c>
      <c r="I469" s="10" t="s">
        <v>18</v>
      </c>
      <c r="J469" s="32">
        <f>E469*G469/1000000*2</f>
        <v>0.86399999999999999</v>
      </c>
      <c r="K469" s="11"/>
      <c r="L469" s="2"/>
    </row>
    <row r="470" spans="1:12" s="28" customFormat="1" ht="31.5" customHeight="1">
      <c r="A470" s="11"/>
      <c r="B470" s="48"/>
      <c r="C470" s="58"/>
      <c r="D470" s="11" t="s">
        <v>119</v>
      </c>
      <c r="E470" s="10"/>
      <c r="F470" s="11">
        <v>21</v>
      </c>
      <c r="G470" s="11">
        <v>100</v>
      </c>
      <c r="H470" s="11" t="s">
        <v>35</v>
      </c>
      <c r="I470" s="10" t="s">
        <v>24</v>
      </c>
      <c r="J470" s="32">
        <v>3.4</v>
      </c>
      <c r="K470" s="11"/>
      <c r="L470" s="2"/>
    </row>
    <row r="471" spans="1:12" s="28" customFormat="1" ht="31.5" customHeight="1">
      <c r="A471" s="11"/>
      <c r="B471" s="48"/>
      <c r="C471" s="56" t="s">
        <v>61</v>
      </c>
      <c r="D471" s="11" t="s">
        <v>189</v>
      </c>
      <c r="E471" s="10"/>
      <c r="F471" s="11">
        <v>36</v>
      </c>
      <c r="G471" s="11">
        <v>80</v>
      </c>
      <c r="H471" s="11" t="s">
        <v>39</v>
      </c>
      <c r="I471" s="10" t="s">
        <v>18</v>
      </c>
      <c r="J471" s="32">
        <f>(E472*2+G472*4)/1000</f>
        <v>13.84</v>
      </c>
      <c r="K471" s="11"/>
      <c r="L471" s="2"/>
    </row>
    <row r="472" spans="1:12" s="28" customFormat="1" ht="31.5" customHeight="1">
      <c r="A472" s="11"/>
      <c r="B472" s="48"/>
      <c r="C472" s="57"/>
      <c r="D472" s="11" t="s">
        <v>53</v>
      </c>
      <c r="E472" s="10">
        <v>920</v>
      </c>
      <c r="F472" s="11">
        <v>205</v>
      </c>
      <c r="G472" s="11">
        <v>3000</v>
      </c>
      <c r="H472" s="11" t="s">
        <v>20</v>
      </c>
      <c r="I472" s="10" t="s">
        <v>18</v>
      </c>
      <c r="J472" s="32">
        <f>(E472+G472*2)*F472/1000000</f>
        <v>1.4186000000000001</v>
      </c>
      <c r="K472" s="11"/>
      <c r="L472" s="2"/>
    </row>
    <row r="473" spans="1:12" s="28" customFormat="1" ht="31.5" customHeight="1">
      <c r="A473" s="11"/>
      <c r="B473" s="48"/>
      <c r="C473" s="57"/>
      <c r="D473" s="11" t="s">
        <v>59</v>
      </c>
      <c r="E473" s="10">
        <f>920-160</f>
        <v>760</v>
      </c>
      <c r="F473" s="11">
        <v>32</v>
      </c>
      <c r="G473" s="11">
        <v>600</v>
      </c>
      <c r="H473" s="11" t="s">
        <v>35</v>
      </c>
      <c r="I473" s="10" t="s">
        <v>18</v>
      </c>
      <c r="J473" s="32">
        <f>E473*G473/1000000*2</f>
        <v>0.91200000000000003</v>
      </c>
      <c r="K473" s="11"/>
      <c r="L473" s="2"/>
    </row>
    <row r="474" spans="1:12" s="28" customFormat="1" ht="31.5" customHeight="1">
      <c r="A474" s="11"/>
      <c r="B474" s="49"/>
      <c r="C474" s="58"/>
      <c r="D474" s="11" t="s">
        <v>119</v>
      </c>
      <c r="E474" s="10"/>
      <c r="F474" s="11">
        <v>21</v>
      </c>
      <c r="G474" s="11">
        <v>100</v>
      </c>
      <c r="H474" s="11" t="s">
        <v>35</v>
      </c>
      <c r="I474" s="10" t="s">
        <v>24</v>
      </c>
      <c r="J474" s="32">
        <f>2.55+0.68</f>
        <v>3.23</v>
      </c>
      <c r="K474" s="11"/>
      <c r="L474" s="2"/>
    </row>
    <row r="475" spans="1:12" s="28" customFormat="1" ht="31.5" customHeight="1">
      <c r="A475" s="41" t="s">
        <v>197</v>
      </c>
      <c r="B475" s="42"/>
      <c r="C475" s="10"/>
      <c r="D475" s="11"/>
      <c r="E475" s="10"/>
      <c r="F475" s="11"/>
      <c r="G475" s="11"/>
      <c r="H475" s="11"/>
      <c r="I475" s="10"/>
      <c r="J475" s="32"/>
      <c r="K475" s="11"/>
      <c r="L475" s="2"/>
    </row>
    <row r="476" spans="1:12" s="28" customFormat="1" ht="31.5" customHeight="1">
      <c r="A476" s="11"/>
      <c r="B476" s="47">
        <v>1.9999999999999999E-6</v>
      </c>
      <c r="C476" s="56" t="s">
        <v>15</v>
      </c>
      <c r="D476" s="11" t="s">
        <v>162</v>
      </c>
      <c r="E476" s="10">
        <v>3070</v>
      </c>
      <c r="F476" s="11">
        <v>580</v>
      </c>
      <c r="G476" s="11">
        <v>3000</v>
      </c>
      <c r="H476" s="11" t="s">
        <v>20</v>
      </c>
      <c r="I476" s="10" t="s">
        <v>18</v>
      </c>
      <c r="J476" s="32">
        <f t="shared" ref="J476:J477" si="90">E476*G476/1000000</f>
        <v>9.2100000000000009</v>
      </c>
      <c r="K476" s="11"/>
      <c r="L476" s="2"/>
    </row>
    <row r="477" spans="1:12" s="28" customFormat="1" ht="31.5" customHeight="1">
      <c r="A477" s="11"/>
      <c r="B477" s="48"/>
      <c r="C477" s="57"/>
      <c r="D477" s="11" t="s">
        <v>89</v>
      </c>
      <c r="E477" s="10">
        <v>1780</v>
      </c>
      <c r="F477" s="11">
        <v>22</v>
      </c>
      <c r="G477" s="11">
        <v>2850</v>
      </c>
      <c r="H477" s="11" t="s">
        <v>35</v>
      </c>
      <c r="I477" s="10" t="s">
        <v>18</v>
      </c>
      <c r="J477" s="32">
        <f t="shared" si="90"/>
        <v>5.0730000000000004</v>
      </c>
      <c r="K477" s="11"/>
      <c r="L477" s="2"/>
    </row>
    <row r="478" spans="1:12" s="28" customFormat="1" ht="31.5" customHeight="1">
      <c r="A478" s="11"/>
      <c r="B478" s="48"/>
      <c r="C478" s="57"/>
      <c r="D478" s="11" t="s">
        <v>164</v>
      </c>
      <c r="E478" s="10">
        <v>390</v>
      </c>
      <c r="F478" s="11">
        <v>424</v>
      </c>
      <c r="G478" s="11">
        <v>160</v>
      </c>
      <c r="H478" s="11" t="s">
        <v>165</v>
      </c>
      <c r="I478" s="10" t="s">
        <v>33</v>
      </c>
      <c r="J478" s="32">
        <v>3</v>
      </c>
      <c r="K478" s="11"/>
      <c r="L478" s="2"/>
    </row>
    <row r="479" spans="1:12" s="28" customFormat="1" ht="31.5" customHeight="1">
      <c r="A479" s="11"/>
      <c r="B479" s="48"/>
      <c r="C479" s="57"/>
      <c r="D479" s="11" t="s">
        <v>22</v>
      </c>
      <c r="E479" s="10"/>
      <c r="F479" s="11"/>
      <c r="G479" s="11">
        <v>40</v>
      </c>
      <c r="H479" s="11" t="s">
        <v>23</v>
      </c>
      <c r="I479" s="10" t="s">
        <v>24</v>
      </c>
      <c r="J479" s="32">
        <v>4</v>
      </c>
      <c r="K479" s="11"/>
      <c r="L479" s="2"/>
    </row>
    <row r="480" spans="1:12" s="28" customFormat="1" ht="31.5" customHeight="1">
      <c r="A480" s="11"/>
      <c r="B480" s="48"/>
      <c r="C480" s="58"/>
      <c r="D480" s="11" t="s">
        <v>119</v>
      </c>
      <c r="E480" s="10"/>
      <c r="F480" s="11">
        <v>21</v>
      </c>
      <c r="G480" s="11">
        <v>100</v>
      </c>
      <c r="H480" s="11" t="s">
        <v>35</v>
      </c>
      <c r="I480" s="10" t="s">
        <v>24</v>
      </c>
      <c r="J480" s="32">
        <v>3.07</v>
      </c>
      <c r="K480" s="11"/>
      <c r="L480" s="2"/>
    </row>
    <row r="481" spans="1:12" s="28" customFormat="1" ht="31.5" customHeight="1">
      <c r="A481" s="11"/>
      <c r="B481" s="48"/>
      <c r="C481" s="56" t="s">
        <v>54</v>
      </c>
      <c r="D481" s="11" t="s">
        <v>195</v>
      </c>
      <c r="E481" s="10"/>
      <c r="F481" s="11">
        <v>36</v>
      </c>
      <c r="G481" s="11">
        <v>80</v>
      </c>
      <c r="H481" s="11" t="s">
        <v>39</v>
      </c>
      <c r="I481" s="10" t="s">
        <v>18</v>
      </c>
      <c r="J481" s="32">
        <f>(E482*2+G482*4)/1000</f>
        <v>13.76</v>
      </c>
      <c r="K481" s="11"/>
      <c r="L481" s="2"/>
    </row>
    <row r="482" spans="1:12" s="28" customFormat="1" ht="31.5" customHeight="1">
      <c r="A482" s="11"/>
      <c r="B482" s="48"/>
      <c r="C482" s="57"/>
      <c r="D482" s="11" t="s">
        <v>53</v>
      </c>
      <c r="E482" s="10">
        <v>880</v>
      </c>
      <c r="F482" s="11">
        <v>205</v>
      </c>
      <c r="G482" s="11">
        <v>3000</v>
      </c>
      <c r="H482" s="11" t="s">
        <v>20</v>
      </c>
      <c r="I482" s="10" t="s">
        <v>18</v>
      </c>
      <c r="J482" s="32">
        <f>(E482+G482*2)*F482/1000000</f>
        <v>1.4104000000000001</v>
      </c>
      <c r="K482" s="11"/>
      <c r="L482" s="2"/>
    </row>
    <row r="483" spans="1:12" s="28" customFormat="1" ht="31.5" customHeight="1">
      <c r="A483" s="11"/>
      <c r="B483" s="48"/>
      <c r="C483" s="57"/>
      <c r="D483" s="11" t="s">
        <v>65</v>
      </c>
      <c r="E483" s="10">
        <f>E482-160</f>
        <v>720</v>
      </c>
      <c r="F483" s="11">
        <v>50</v>
      </c>
      <c r="G483" s="11">
        <v>2400</v>
      </c>
      <c r="H483" s="11" t="s">
        <v>66</v>
      </c>
      <c r="I483" s="10" t="s">
        <v>18</v>
      </c>
      <c r="J483" s="32">
        <f t="shared" ref="J483" si="91">E483*G483/1000000</f>
        <v>1.728</v>
      </c>
      <c r="K483" s="11"/>
      <c r="L483" s="2"/>
    </row>
    <row r="484" spans="1:12" s="28" customFormat="1" ht="31.5" customHeight="1">
      <c r="A484" s="11"/>
      <c r="B484" s="48"/>
      <c r="C484" s="57"/>
      <c r="D484" s="11" t="s">
        <v>22</v>
      </c>
      <c r="E484" s="10"/>
      <c r="F484" s="11"/>
      <c r="G484" s="11">
        <v>405</v>
      </c>
      <c r="H484" s="11" t="s">
        <v>23</v>
      </c>
      <c r="I484" s="10" t="s">
        <v>24</v>
      </c>
      <c r="J484" s="32">
        <v>6.5</v>
      </c>
      <c r="K484" s="11"/>
      <c r="L484" s="2"/>
    </row>
    <row r="485" spans="1:12" s="28" customFormat="1" ht="31.5" customHeight="1">
      <c r="A485" s="11"/>
      <c r="B485" s="48"/>
      <c r="C485" s="57"/>
      <c r="D485" s="11" t="s">
        <v>59</v>
      </c>
      <c r="E485" s="10">
        <v>720</v>
      </c>
      <c r="F485" s="11">
        <v>32</v>
      </c>
      <c r="G485" s="11">
        <v>600</v>
      </c>
      <c r="H485" s="11" t="s">
        <v>35</v>
      </c>
      <c r="I485" s="10" t="s">
        <v>18</v>
      </c>
      <c r="J485" s="32">
        <f>E485*G485/1000000*2</f>
        <v>0.86399999999999999</v>
      </c>
      <c r="K485" s="11"/>
      <c r="L485" s="2"/>
    </row>
    <row r="486" spans="1:12" s="28" customFormat="1" ht="31.5" customHeight="1">
      <c r="A486" s="11"/>
      <c r="B486" s="48"/>
      <c r="C486" s="57"/>
      <c r="D486" s="11" t="s">
        <v>162</v>
      </c>
      <c r="E486" s="10">
        <f>3070-880</f>
        <v>2190</v>
      </c>
      <c r="F486" s="11">
        <v>580</v>
      </c>
      <c r="G486" s="11">
        <v>3000</v>
      </c>
      <c r="H486" s="11" t="s">
        <v>20</v>
      </c>
      <c r="I486" s="10" t="s">
        <v>18</v>
      </c>
      <c r="J486" s="32">
        <f t="shared" ref="J486" si="92">E486*G486/1000000</f>
        <v>6.57</v>
      </c>
      <c r="K486" s="11"/>
      <c r="L486" s="2"/>
    </row>
    <row r="487" spans="1:12" s="28" customFormat="1" ht="31.5" customHeight="1">
      <c r="A487" s="11"/>
      <c r="B487" s="48"/>
      <c r="C487" s="57"/>
      <c r="D487" s="11" t="s">
        <v>89</v>
      </c>
      <c r="E487" s="10">
        <f>635+650</f>
        <v>1285</v>
      </c>
      <c r="F487" s="11">
        <v>22</v>
      </c>
      <c r="G487" s="11">
        <v>2850</v>
      </c>
      <c r="H487" s="11" t="s">
        <v>35</v>
      </c>
      <c r="I487" s="10" t="s">
        <v>18</v>
      </c>
      <c r="J487" s="32">
        <f>E487*G487/1000000-0.5</f>
        <v>3.1622499999999998</v>
      </c>
      <c r="K487" s="11"/>
      <c r="L487" s="2"/>
    </row>
    <row r="488" spans="1:12" s="28" customFormat="1" ht="31.5" customHeight="1">
      <c r="A488" s="11"/>
      <c r="B488" s="48"/>
      <c r="C488" s="57"/>
      <c r="D488" s="11" t="s">
        <v>164</v>
      </c>
      <c r="E488" s="10">
        <v>480</v>
      </c>
      <c r="F488" s="11">
        <v>424</v>
      </c>
      <c r="G488" s="11">
        <v>160</v>
      </c>
      <c r="H488" s="11" t="s">
        <v>165</v>
      </c>
      <c r="I488" s="10" t="s">
        <v>33</v>
      </c>
      <c r="J488" s="32">
        <v>1</v>
      </c>
      <c r="K488" s="11"/>
      <c r="L488" s="2"/>
    </row>
    <row r="489" spans="1:12" s="28" customFormat="1" ht="31.5" customHeight="1">
      <c r="A489" s="11"/>
      <c r="B489" s="48"/>
      <c r="C489" s="57"/>
      <c r="D489" s="11" t="s">
        <v>22</v>
      </c>
      <c r="E489" s="10"/>
      <c r="F489" s="11"/>
      <c r="G489" s="11">
        <v>40</v>
      </c>
      <c r="H489" s="11" t="s">
        <v>23</v>
      </c>
      <c r="I489" s="10" t="s">
        <v>24</v>
      </c>
      <c r="J489" s="32">
        <v>2.5</v>
      </c>
      <c r="K489" s="11"/>
      <c r="L489" s="2"/>
    </row>
    <row r="490" spans="1:12" s="28" customFormat="1" ht="31.5" customHeight="1">
      <c r="A490" s="11"/>
      <c r="B490" s="48"/>
      <c r="C490" s="58"/>
      <c r="D490" s="11" t="s">
        <v>119</v>
      </c>
      <c r="E490" s="10"/>
      <c r="F490" s="11">
        <v>21</v>
      </c>
      <c r="G490" s="11">
        <v>100</v>
      </c>
      <c r="H490" s="11" t="s">
        <v>35</v>
      </c>
      <c r="I490" s="10" t="s">
        <v>24</v>
      </c>
      <c r="J490" s="32">
        <v>3.07</v>
      </c>
      <c r="K490" s="11"/>
      <c r="L490" s="2"/>
    </row>
    <row r="491" spans="1:12" s="28" customFormat="1" ht="31.5" customHeight="1">
      <c r="A491" s="11"/>
      <c r="B491" s="49"/>
      <c r="C491" s="10" t="s">
        <v>61</v>
      </c>
      <c r="D491" s="11" t="s">
        <v>119</v>
      </c>
      <c r="E491" s="10"/>
      <c r="F491" s="11">
        <v>21</v>
      </c>
      <c r="G491" s="11">
        <v>100</v>
      </c>
      <c r="H491" s="11" t="s">
        <v>35</v>
      </c>
      <c r="I491" s="10" t="s">
        <v>24</v>
      </c>
      <c r="J491" s="32">
        <v>1.28</v>
      </c>
      <c r="K491" s="11"/>
      <c r="L491" s="2"/>
    </row>
    <row r="492" spans="1:12" s="28" customFormat="1" ht="31.5" customHeight="1">
      <c r="A492" s="41" t="s">
        <v>198</v>
      </c>
      <c r="B492" s="42"/>
      <c r="C492" s="10"/>
      <c r="D492" s="11"/>
      <c r="E492" s="10"/>
      <c r="F492" s="11"/>
      <c r="G492" s="11"/>
      <c r="H492" s="11"/>
      <c r="I492" s="10"/>
      <c r="J492" s="32"/>
      <c r="K492" s="11"/>
      <c r="L492" s="2"/>
    </row>
    <row r="493" spans="1:12" s="28" customFormat="1" ht="31.5" customHeight="1">
      <c r="A493" s="11"/>
      <c r="B493" s="47">
        <v>1.9999999999999999E-7</v>
      </c>
      <c r="C493" s="56" t="s">
        <v>15</v>
      </c>
      <c r="D493" s="11" t="s">
        <v>195</v>
      </c>
      <c r="E493" s="10"/>
      <c r="F493" s="11">
        <v>36</v>
      </c>
      <c r="G493" s="11">
        <v>80</v>
      </c>
      <c r="H493" s="11" t="s">
        <v>39</v>
      </c>
      <c r="I493" s="10" t="s">
        <v>18</v>
      </c>
      <c r="J493" s="32">
        <f>(E494*2+G494*4)/1000</f>
        <v>13.8</v>
      </c>
      <c r="K493" s="11"/>
      <c r="L493" s="2"/>
    </row>
    <row r="494" spans="1:12" s="28" customFormat="1" ht="31.5" customHeight="1">
      <c r="A494" s="11"/>
      <c r="B494" s="48"/>
      <c r="C494" s="57"/>
      <c r="D494" s="11" t="s">
        <v>53</v>
      </c>
      <c r="E494" s="10">
        <v>900</v>
      </c>
      <c r="F494" s="11">
        <v>205</v>
      </c>
      <c r="G494" s="11">
        <v>3000</v>
      </c>
      <c r="H494" s="11" t="s">
        <v>20</v>
      </c>
      <c r="I494" s="10" t="s">
        <v>18</v>
      </c>
      <c r="J494" s="32">
        <f>(E494+G494*2)*F494/1000000</f>
        <v>1.4145000000000001</v>
      </c>
      <c r="K494" s="11"/>
      <c r="L494" s="2"/>
    </row>
    <row r="495" spans="1:12" s="28" customFormat="1" ht="31.5" customHeight="1">
      <c r="A495" s="11"/>
      <c r="B495" s="48"/>
      <c r="C495" s="57"/>
      <c r="D495" s="11" t="s">
        <v>65</v>
      </c>
      <c r="E495" s="10">
        <f>E494-160</f>
        <v>740</v>
      </c>
      <c r="F495" s="11">
        <v>50</v>
      </c>
      <c r="G495" s="11">
        <v>2400</v>
      </c>
      <c r="H495" s="11" t="s">
        <v>66</v>
      </c>
      <c r="I495" s="10" t="s">
        <v>18</v>
      </c>
      <c r="J495" s="32">
        <f t="shared" ref="J495" si="93">E495*G495/1000000</f>
        <v>1.776</v>
      </c>
      <c r="K495" s="11" t="s">
        <v>67</v>
      </c>
      <c r="L495" s="2"/>
    </row>
    <row r="496" spans="1:12" s="28" customFormat="1" ht="31.5" customHeight="1">
      <c r="A496" s="11"/>
      <c r="B496" s="48"/>
      <c r="C496" s="57"/>
      <c r="D496" s="11" t="s">
        <v>22</v>
      </c>
      <c r="E496" s="10"/>
      <c r="F496" s="11"/>
      <c r="G496" s="11">
        <v>405</v>
      </c>
      <c r="H496" s="11" t="s">
        <v>23</v>
      </c>
      <c r="I496" s="10" t="s">
        <v>24</v>
      </c>
      <c r="J496" s="32">
        <v>6.5</v>
      </c>
      <c r="K496" s="11"/>
      <c r="L496" s="2"/>
    </row>
    <row r="497" spans="1:12" s="28" customFormat="1" ht="31.5" customHeight="1">
      <c r="A497" s="11"/>
      <c r="B497" s="48"/>
      <c r="C497" s="58"/>
      <c r="D497" s="11" t="s">
        <v>59</v>
      </c>
      <c r="E497" s="10">
        <v>740</v>
      </c>
      <c r="F497" s="11">
        <v>32</v>
      </c>
      <c r="G497" s="11">
        <v>600</v>
      </c>
      <c r="H497" s="11" t="s">
        <v>35</v>
      </c>
      <c r="I497" s="10" t="s">
        <v>18</v>
      </c>
      <c r="J497" s="32">
        <f>E497*G497/1000000*2</f>
        <v>0.88800000000000001</v>
      </c>
      <c r="K497" s="11"/>
      <c r="L497" s="2"/>
    </row>
    <row r="498" spans="1:12" s="28" customFormat="1" ht="31.5" customHeight="1">
      <c r="A498" s="11"/>
      <c r="B498" s="48"/>
      <c r="C498" s="56" t="s">
        <v>47</v>
      </c>
      <c r="D498" s="11" t="s">
        <v>116</v>
      </c>
      <c r="E498" s="10">
        <v>1020</v>
      </c>
      <c r="F498" s="11">
        <v>600</v>
      </c>
      <c r="G498" s="11">
        <v>610</v>
      </c>
      <c r="H498" s="11" t="s">
        <v>171</v>
      </c>
      <c r="I498" s="10" t="s">
        <v>18</v>
      </c>
      <c r="J498" s="32">
        <f t="shared" ref="J498:J499" si="94">E498*G498/1000000</f>
        <v>0.62219999999999998</v>
      </c>
      <c r="K498" s="11"/>
      <c r="L498" s="2"/>
    </row>
    <row r="499" spans="1:12" s="28" customFormat="1" ht="31.5" customHeight="1">
      <c r="A499" s="11"/>
      <c r="B499" s="48"/>
      <c r="C499" s="57"/>
      <c r="D499" s="11" t="s">
        <v>89</v>
      </c>
      <c r="E499" s="10">
        <v>9970</v>
      </c>
      <c r="F499" s="11">
        <v>22</v>
      </c>
      <c r="G499" s="11">
        <v>540</v>
      </c>
      <c r="H499" s="11" t="s">
        <v>172</v>
      </c>
      <c r="I499" s="10" t="s">
        <v>18</v>
      </c>
      <c r="J499" s="32">
        <f t="shared" si="94"/>
        <v>5.3837999999999999</v>
      </c>
      <c r="K499" s="11"/>
      <c r="L499" s="2"/>
    </row>
    <row r="500" spans="1:12" s="28" customFormat="1" ht="31.5" customHeight="1">
      <c r="A500" s="11"/>
      <c r="B500" s="49"/>
      <c r="C500" s="58"/>
      <c r="D500" s="11" t="s">
        <v>173</v>
      </c>
      <c r="E500" s="10">
        <v>900</v>
      </c>
      <c r="F500" s="11">
        <v>50</v>
      </c>
      <c r="G500" s="11">
        <v>1700</v>
      </c>
      <c r="H500" s="11" t="s">
        <v>174</v>
      </c>
      <c r="I500" s="10" t="s">
        <v>18</v>
      </c>
      <c r="J500" s="32">
        <f t="shared" ref="J500" si="95">E500*G500/1000000</f>
        <v>1.53</v>
      </c>
      <c r="K500" s="11"/>
      <c r="L500" s="2"/>
    </row>
    <row r="501" spans="1:12" s="28" customFormat="1" ht="31.5" customHeight="1">
      <c r="A501" s="41" t="s">
        <v>199</v>
      </c>
      <c r="B501" s="42"/>
      <c r="C501" s="10"/>
      <c r="D501" s="11"/>
      <c r="E501" s="10"/>
      <c r="F501" s="11"/>
      <c r="G501" s="11"/>
      <c r="H501" s="11"/>
      <c r="I501" s="10"/>
      <c r="J501" s="32"/>
      <c r="K501" s="11"/>
      <c r="L501" s="2"/>
    </row>
    <row r="502" spans="1:12" s="28" customFormat="1" ht="31.5" customHeight="1">
      <c r="A502" s="11"/>
      <c r="B502" s="47">
        <v>2E-8</v>
      </c>
      <c r="C502" s="56" t="s">
        <v>47</v>
      </c>
      <c r="D502" s="11" t="s">
        <v>116</v>
      </c>
      <c r="E502" s="10">
        <v>1550</v>
      </c>
      <c r="F502" s="11">
        <v>600</v>
      </c>
      <c r="G502" s="11">
        <v>610</v>
      </c>
      <c r="H502" s="11" t="s">
        <v>171</v>
      </c>
      <c r="I502" s="10" t="s">
        <v>18</v>
      </c>
      <c r="J502" s="32">
        <f t="shared" ref="J502:J503" si="96">E502*G502/1000000</f>
        <v>0.94550000000000001</v>
      </c>
      <c r="K502" s="11"/>
      <c r="L502" s="2"/>
    </row>
    <row r="503" spans="1:12" s="28" customFormat="1" ht="31.5" customHeight="1">
      <c r="A503" s="11"/>
      <c r="B503" s="48"/>
      <c r="C503" s="57"/>
      <c r="D503" s="11" t="s">
        <v>89</v>
      </c>
      <c r="E503" s="10">
        <v>1527</v>
      </c>
      <c r="F503" s="11">
        <v>22</v>
      </c>
      <c r="G503" s="11">
        <v>540</v>
      </c>
      <c r="H503" s="11" t="s">
        <v>172</v>
      </c>
      <c r="I503" s="10" t="s">
        <v>18</v>
      </c>
      <c r="J503" s="32">
        <f t="shared" si="96"/>
        <v>0.82457999999999998</v>
      </c>
      <c r="K503" s="11"/>
      <c r="L503" s="2"/>
    </row>
    <row r="504" spans="1:12" s="28" customFormat="1" ht="31.5" customHeight="1">
      <c r="A504" s="11"/>
      <c r="B504" s="48"/>
      <c r="C504" s="58"/>
      <c r="D504" s="11" t="s">
        <v>200</v>
      </c>
      <c r="E504" s="10">
        <v>800</v>
      </c>
      <c r="F504" s="11">
        <v>50</v>
      </c>
      <c r="G504" s="11">
        <v>1700</v>
      </c>
      <c r="H504" s="11" t="s">
        <v>174</v>
      </c>
      <c r="I504" s="10" t="s">
        <v>33</v>
      </c>
      <c r="J504" s="32">
        <v>1</v>
      </c>
      <c r="K504" s="11"/>
      <c r="L504" s="2"/>
    </row>
    <row r="505" spans="1:12" s="28" customFormat="1" ht="31.5" customHeight="1">
      <c r="A505" s="11"/>
      <c r="B505" s="48"/>
      <c r="C505" s="56" t="s">
        <v>54</v>
      </c>
      <c r="D505" s="11" t="s">
        <v>176</v>
      </c>
      <c r="E505" s="10"/>
      <c r="F505" s="11">
        <v>36</v>
      </c>
      <c r="G505" s="11">
        <v>80</v>
      </c>
      <c r="H505" s="11" t="s">
        <v>39</v>
      </c>
      <c r="I505" s="10" t="s">
        <v>18</v>
      </c>
      <c r="J505" s="32">
        <f>(E506*2+G506*4)/1000</f>
        <v>13.76</v>
      </c>
      <c r="K505" s="11"/>
      <c r="L505" s="2"/>
    </row>
    <row r="506" spans="1:12" s="28" customFormat="1" ht="31.5" customHeight="1">
      <c r="A506" s="11"/>
      <c r="B506" s="48"/>
      <c r="C506" s="57"/>
      <c r="D506" s="11" t="s">
        <v>53</v>
      </c>
      <c r="E506" s="10">
        <v>880</v>
      </c>
      <c r="F506" s="11">
        <v>205</v>
      </c>
      <c r="G506" s="11">
        <v>3000</v>
      </c>
      <c r="H506" s="11" t="s">
        <v>20</v>
      </c>
      <c r="I506" s="10" t="s">
        <v>18</v>
      </c>
      <c r="J506" s="32">
        <f>(E506+G506*2)*F506/1000000</f>
        <v>1.4104000000000001</v>
      </c>
      <c r="K506" s="11"/>
      <c r="L506" s="2"/>
    </row>
    <row r="507" spans="1:12" s="28" customFormat="1" ht="31.5" customHeight="1">
      <c r="A507" s="11"/>
      <c r="B507" s="48"/>
      <c r="C507" s="57"/>
      <c r="D507" s="11" t="s">
        <v>65</v>
      </c>
      <c r="E507" s="10">
        <f>E506-160</f>
        <v>720</v>
      </c>
      <c r="F507" s="11">
        <v>50</v>
      </c>
      <c r="G507" s="11">
        <v>2400</v>
      </c>
      <c r="H507" s="11" t="s">
        <v>35</v>
      </c>
      <c r="I507" s="10" t="s">
        <v>18</v>
      </c>
      <c r="J507" s="32">
        <f t="shared" ref="J507" si="97">E507*G507/1000000</f>
        <v>1.728</v>
      </c>
      <c r="K507" s="11" t="s">
        <v>67</v>
      </c>
      <c r="L507" s="2"/>
    </row>
    <row r="508" spans="1:12" s="28" customFormat="1" ht="31.5" customHeight="1">
      <c r="A508" s="11"/>
      <c r="B508" s="48"/>
      <c r="C508" s="57"/>
      <c r="D508" s="11" t="s">
        <v>22</v>
      </c>
      <c r="E508" s="10"/>
      <c r="F508" s="11"/>
      <c r="G508" s="11">
        <v>405</v>
      </c>
      <c r="H508" s="11" t="s">
        <v>23</v>
      </c>
      <c r="I508" s="10" t="s">
        <v>24</v>
      </c>
      <c r="J508" s="32">
        <v>6.5</v>
      </c>
      <c r="K508" s="11"/>
      <c r="L508" s="2"/>
    </row>
    <row r="509" spans="1:12" s="28" customFormat="1" ht="31.5" customHeight="1">
      <c r="A509" s="11"/>
      <c r="B509" s="48"/>
      <c r="C509" s="57"/>
      <c r="D509" s="11" t="s">
        <v>59</v>
      </c>
      <c r="E509" s="10">
        <v>740</v>
      </c>
      <c r="F509" s="11">
        <v>32</v>
      </c>
      <c r="G509" s="11">
        <v>600</v>
      </c>
      <c r="H509" s="11" t="s">
        <v>35</v>
      </c>
      <c r="I509" s="10" t="s">
        <v>18</v>
      </c>
      <c r="J509" s="32">
        <f>E509*G509/1000000*2</f>
        <v>0.88800000000000001</v>
      </c>
      <c r="K509" s="11"/>
      <c r="L509" s="2"/>
    </row>
    <row r="510" spans="1:12" s="28" customFormat="1" ht="31.5" customHeight="1">
      <c r="A510" s="41" t="s">
        <v>201</v>
      </c>
      <c r="B510" s="42"/>
      <c r="C510" s="10"/>
      <c r="D510" s="11"/>
      <c r="E510" s="10"/>
      <c r="F510" s="11"/>
      <c r="G510" s="11"/>
      <c r="H510" s="11"/>
      <c r="I510" s="10"/>
      <c r="J510" s="32"/>
      <c r="K510" s="11"/>
      <c r="L510" s="2"/>
    </row>
    <row r="511" spans="1:12" s="28" customFormat="1" ht="31.5" customHeight="1">
      <c r="A511" s="11"/>
      <c r="B511" s="47">
        <v>2.0000000000000001E-9</v>
      </c>
      <c r="C511" s="56" t="s">
        <v>54</v>
      </c>
      <c r="D511" s="11" t="s">
        <v>162</v>
      </c>
      <c r="E511" s="10">
        <v>2865</v>
      </c>
      <c r="F511" s="11">
        <v>580</v>
      </c>
      <c r="G511" s="11">
        <v>3000</v>
      </c>
      <c r="H511" s="11" t="s">
        <v>20</v>
      </c>
      <c r="I511" s="10" t="s">
        <v>18</v>
      </c>
      <c r="J511" s="32">
        <f t="shared" ref="J511:J512" si="98">E511*G511/1000000</f>
        <v>8.5950000000000006</v>
      </c>
      <c r="K511" s="11"/>
      <c r="L511" s="2"/>
    </row>
    <row r="512" spans="1:12" s="28" customFormat="1" ht="31.5" customHeight="1">
      <c r="A512" s="11"/>
      <c r="B512" s="48"/>
      <c r="C512" s="57"/>
      <c r="D512" s="11" t="s">
        <v>89</v>
      </c>
      <c r="E512" s="10">
        <v>2225</v>
      </c>
      <c r="F512" s="11">
        <v>22</v>
      </c>
      <c r="G512" s="11">
        <v>2850</v>
      </c>
      <c r="H512" s="11" t="s">
        <v>35</v>
      </c>
      <c r="I512" s="10" t="s">
        <v>18</v>
      </c>
      <c r="J512" s="32">
        <f t="shared" si="98"/>
        <v>6.3412499999999996</v>
      </c>
      <c r="K512" s="11"/>
      <c r="L512" s="2"/>
    </row>
    <row r="513" spans="1:12" s="28" customFormat="1" ht="31.5" customHeight="1">
      <c r="A513" s="11"/>
      <c r="B513" s="48"/>
      <c r="C513" s="57"/>
      <c r="D513" s="11" t="s">
        <v>164</v>
      </c>
      <c r="E513" s="10">
        <v>390</v>
      </c>
      <c r="F513" s="11">
        <v>424</v>
      </c>
      <c r="G513" s="11">
        <v>160</v>
      </c>
      <c r="H513" s="11" t="s">
        <v>165</v>
      </c>
      <c r="I513" s="10" t="s">
        <v>33</v>
      </c>
      <c r="J513" s="32">
        <v>3</v>
      </c>
      <c r="K513" s="11"/>
      <c r="L513" s="2"/>
    </row>
    <row r="514" spans="1:12" s="28" customFormat="1" ht="31.5" customHeight="1">
      <c r="A514" s="11"/>
      <c r="B514" s="48"/>
      <c r="C514" s="58"/>
      <c r="D514" s="11" t="s">
        <v>22</v>
      </c>
      <c r="E514" s="10"/>
      <c r="F514" s="11"/>
      <c r="G514" s="11">
        <v>40</v>
      </c>
      <c r="H514" s="11" t="s">
        <v>23</v>
      </c>
      <c r="I514" s="10" t="s">
        <v>24</v>
      </c>
      <c r="J514" s="32">
        <v>2.2000000000000002</v>
      </c>
      <c r="K514" s="11"/>
      <c r="L514" s="2"/>
    </row>
    <row r="515" spans="1:12" s="28" customFormat="1" ht="31.5" customHeight="1">
      <c r="A515" s="11"/>
      <c r="B515" s="49"/>
      <c r="C515" s="10" t="s">
        <v>202</v>
      </c>
      <c r="D515" s="11" t="s">
        <v>119</v>
      </c>
      <c r="E515" s="10"/>
      <c r="F515" s="11">
        <v>21</v>
      </c>
      <c r="G515" s="11">
        <v>100</v>
      </c>
      <c r="H515" s="11" t="s">
        <v>35</v>
      </c>
      <c r="I515" s="10" t="s">
        <v>24</v>
      </c>
      <c r="J515" s="32">
        <f>1.9+1.2+2.87+1.17</f>
        <v>7.14</v>
      </c>
      <c r="K515" s="11"/>
      <c r="L515" s="2"/>
    </row>
    <row r="516" spans="1:12" s="28" customFormat="1" ht="31.5" customHeight="1">
      <c r="A516" s="41" t="s">
        <v>203</v>
      </c>
      <c r="B516" s="42"/>
      <c r="C516" s="10"/>
      <c r="D516" s="11"/>
      <c r="E516" s="10"/>
      <c r="F516" s="11"/>
      <c r="G516" s="11"/>
      <c r="H516" s="11"/>
      <c r="I516" s="10"/>
      <c r="J516" s="32"/>
      <c r="K516" s="11"/>
      <c r="L516" s="2"/>
    </row>
    <row r="517" spans="1:12" s="28" customFormat="1" ht="31.5" customHeight="1">
      <c r="A517" s="11"/>
      <c r="B517" s="47">
        <v>2.0000000000000001E-10</v>
      </c>
      <c r="C517" s="56" t="s">
        <v>15</v>
      </c>
      <c r="D517" s="11" t="s">
        <v>42</v>
      </c>
      <c r="E517" s="10">
        <f>2625+3955+2845</f>
        <v>9425</v>
      </c>
      <c r="F517" s="11">
        <v>32</v>
      </c>
      <c r="G517" s="11">
        <v>3000</v>
      </c>
      <c r="H517" s="11" t="s">
        <v>143</v>
      </c>
      <c r="I517" s="10" t="s">
        <v>18</v>
      </c>
      <c r="J517" s="32">
        <f t="shared" ref="J517" si="99">E517*G517/1000000</f>
        <v>28.274999999999999</v>
      </c>
      <c r="K517" s="11" t="s">
        <v>113</v>
      </c>
      <c r="L517" s="2"/>
    </row>
    <row r="518" spans="1:12" s="28" customFormat="1" ht="31.5" customHeight="1">
      <c r="A518" s="11"/>
      <c r="B518" s="48"/>
      <c r="C518" s="57"/>
      <c r="D518" s="11" t="s">
        <v>43</v>
      </c>
      <c r="E518" s="10"/>
      <c r="F518" s="11"/>
      <c r="G518" s="11"/>
      <c r="H518" s="11"/>
      <c r="I518" s="10" t="s">
        <v>18</v>
      </c>
      <c r="J518" s="32">
        <f>J517</f>
        <v>28.274999999999999</v>
      </c>
      <c r="K518" s="11"/>
      <c r="L518" s="2"/>
    </row>
    <row r="519" spans="1:12" s="28" customFormat="1" ht="31.5" customHeight="1">
      <c r="A519" s="11"/>
      <c r="B519" s="48"/>
      <c r="C519" s="57"/>
      <c r="D519" s="11" t="s">
        <v>22</v>
      </c>
      <c r="E519" s="10"/>
      <c r="F519" s="11"/>
      <c r="G519" s="11">
        <v>5</v>
      </c>
      <c r="H519" s="11" t="s">
        <v>23</v>
      </c>
      <c r="I519" s="10" t="s">
        <v>24</v>
      </c>
      <c r="J519" s="32">
        <f>42.12+30.22</f>
        <v>72.34</v>
      </c>
      <c r="K519" s="11"/>
      <c r="L519" s="2"/>
    </row>
    <row r="520" spans="1:12" s="28" customFormat="1" ht="31.5" customHeight="1">
      <c r="A520" s="11"/>
      <c r="B520" s="48"/>
      <c r="C520" s="58"/>
      <c r="D520" s="11" t="s">
        <v>119</v>
      </c>
      <c r="E520" s="10"/>
      <c r="F520" s="11">
        <v>21</v>
      </c>
      <c r="G520" s="11">
        <v>100</v>
      </c>
      <c r="H520" s="11" t="s">
        <v>35</v>
      </c>
      <c r="I520" s="10" t="s">
        <v>24</v>
      </c>
      <c r="J520" s="32">
        <v>9.43</v>
      </c>
      <c r="K520" s="11"/>
      <c r="L520" s="2"/>
    </row>
    <row r="521" spans="1:12" s="28" customFormat="1" ht="31.5" customHeight="1">
      <c r="A521" s="11"/>
      <c r="B521" s="48"/>
      <c r="C521" s="56" t="s">
        <v>47</v>
      </c>
      <c r="D521" s="11" t="s">
        <v>42</v>
      </c>
      <c r="E521" s="10">
        <f>690+720+340+340+1200+1736</f>
        <v>5026</v>
      </c>
      <c r="F521" s="11">
        <v>32</v>
      </c>
      <c r="G521" s="11">
        <v>3000</v>
      </c>
      <c r="H521" s="11" t="s">
        <v>143</v>
      </c>
      <c r="I521" s="10" t="s">
        <v>18</v>
      </c>
      <c r="J521" s="32">
        <f t="shared" ref="J521" si="100">E521*G521/1000000</f>
        <v>15.077999999999999</v>
      </c>
      <c r="K521" s="11" t="s">
        <v>113</v>
      </c>
      <c r="L521" s="2"/>
    </row>
    <row r="522" spans="1:12" s="28" customFormat="1" ht="31.5" customHeight="1">
      <c r="A522" s="11"/>
      <c r="B522" s="48"/>
      <c r="C522" s="57"/>
      <c r="D522" s="11" t="s">
        <v>43</v>
      </c>
      <c r="E522" s="10"/>
      <c r="F522" s="11"/>
      <c r="G522" s="11"/>
      <c r="H522" s="11"/>
      <c r="I522" s="10" t="s">
        <v>18</v>
      </c>
      <c r="J522" s="32">
        <f>J521</f>
        <v>15.077999999999999</v>
      </c>
      <c r="K522" s="11"/>
      <c r="L522" s="2"/>
    </row>
    <row r="523" spans="1:12" s="28" customFormat="1" ht="31.5" customHeight="1">
      <c r="A523" s="11"/>
      <c r="B523" s="48"/>
      <c r="C523" s="57"/>
      <c r="D523" s="11" t="s">
        <v>22</v>
      </c>
      <c r="E523" s="10"/>
      <c r="F523" s="11"/>
      <c r="G523" s="11">
        <v>5</v>
      </c>
      <c r="H523" s="11" t="s">
        <v>23</v>
      </c>
      <c r="I523" s="10" t="s">
        <v>24</v>
      </c>
      <c r="J523" s="32">
        <f>19+13</f>
        <v>32</v>
      </c>
      <c r="K523" s="11"/>
      <c r="L523" s="2"/>
    </row>
    <row r="524" spans="1:12" s="28" customFormat="1" ht="31.5" customHeight="1">
      <c r="A524" s="11"/>
      <c r="B524" s="48"/>
      <c r="C524" s="57"/>
      <c r="D524" s="11" t="s">
        <v>204</v>
      </c>
      <c r="E524" s="10"/>
      <c r="F524" s="11">
        <v>36</v>
      </c>
      <c r="G524" s="11">
        <v>80</v>
      </c>
      <c r="H524" s="11" t="s">
        <v>39</v>
      </c>
      <c r="I524" s="10" t="s">
        <v>18</v>
      </c>
      <c r="J524" s="32">
        <f>(E525*2+G525*4)/1000</f>
        <v>15.49</v>
      </c>
      <c r="K524" s="11"/>
      <c r="L524" s="2"/>
    </row>
    <row r="525" spans="1:12" s="28" customFormat="1" ht="31.5" customHeight="1">
      <c r="A525" s="11"/>
      <c r="B525" s="48"/>
      <c r="C525" s="57"/>
      <c r="D525" s="11" t="s">
        <v>53</v>
      </c>
      <c r="E525" s="10">
        <v>1745</v>
      </c>
      <c r="F525" s="11">
        <v>205</v>
      </c>
      <c r="G525" s="11">
        <v>3000</v>
      </c>
      <c r="H525" s="11" t="s">
        <v>20</v>
      </c>
      <c r="I525" s="10" t="s">
        <v>18</v>
      </c>
      <c r="J525" s="32">
        <f>(E525+G525*2)*F525/1000000</f>
        <v>1.5877250000000001</v>
      </c>
      <c r="K525" s="11"/>
      <c r="L525" s="2"/>
    </row>
    <row r="526" spans="1:12" s="28" customFormat="1" ht="31.5" customHeight="1">
      <c r="A526" s="11"/>
      <c r="B526" s="49"/>
      <c r="C526" s="58"/>
      <c r="D526" s="11" t="s">
        <v>119</v>
      </c>
      <c r="E526" s="10"/>
      <c r="F526" s="11">
        <v>21</v>
      </c>
      <c r="G526" s="11">
        <v>100</v>
      </c>
      <c r="H526" s="11" t="s">
        <v>35</v>
      </c>
      <c r="I526" s="10" t="s">
        <v>24</v>
      </c>
      <c r="J526" s="32">
        <v>5.03</v>
      </c>
      <c r="K526" s="11"/>
      <c r="L526" s="2"/>
    </row>
    <row r="527" spans="1:12" s="28" customFormat="1" ht="31.5" customHeight="1">
      <c r="A527" s="11"/>
      <c r="B527" s="53">
        <v>2E-12</v>
      </c>
      <c r="C527" s="62" t="s">
        <v>54</v>
      </c>
      <c r="D527" s="11" t="s">
        <v>42</v>
      </c>
      <c r="E527" s="10">
        <v>1230</v>
      </c>
      <c r="F527" s="11">
        <v>32</v>
      </c>
      <c r="G527" s="11">
        <v>3000</v>
      </c>
      <c r="H527" s="11" t="s">
        <v>143</v>
      </c>
      <c r="I527" s="10" t="s">
        <v>18</v>
      </c>
      <c r="J527" s="32">
        <f t="shared" ref="J527" si="101">E527*G527/1000000</f>
        <v>3.69</v>
      </c>
      <c r="K527" s="11" t="s">
        <v>113</v>
      </c>
      <c r="L527" s="2"/>
    </row>
    <row r="528" spans="1:12" s="28" customFormat="1" ht="31.5" customHeight="1">
      <c r="A528" s="11"/>
      <c r="B528" s="53"/>
      <c r="C528" s="62"/>
      <c r="D528" s="11" t="s">
        <v>43</v>
      </c>
      <c r="E528" s="10"/>
      <c r="F528" s="11"/>
      <c r="G528" s="11"/>
      <c r="H528" s="11"/>
      <c r="I528" s="10" t="s">
        <v>18</v>
      </c>
      <c r="J528" s="32">
        <f>J527</f>
        <v>3.69</v>
      </c>
      <c r="K528" s="11"/>
      <c r="L528" s="2"/>
    </row>
    <row r="529" spans="1:12" s="28" customFormat="1" ht="31.5" customHeight="1">
      <c r="A529" s="11"/>
      <c r="B529" s="53"/>
      <c r="C529" s="62"/>
      <c r="D529" s="11" t="s">
        <v>22</v>
      </c>
      <c r="E529" s="10"/>
      <c r="F529" s="11"/>
      <c r="G529" s="11">
        <v>5</v>
      </c>
      <c r="H529" s="11" t="s">
        <v>23</v>
      </c>
      <c r="I529" s="10" t="s">
        <v>24</v>
      </c>
      <c r="J529" s="32">
        <f>4.8+3.2</f>
        <v>8</v>
      </c>
      <c r="K529" s="11"/>
      <c r="L529" s="2"/>
    </row>
    <row r="530" spans="1:12" s="28" customFormat="1" ht="31.5" customHeight="1">
      <c r="A530" s="11"/>
      <c r="B530" s="53"/>
      <c r="C530" s="62"/>
      <c r="D530" s="11" t="s">
        <v>119</v>
      </c>
      <c r="E530" s="10"/>
      <c r="F530" s="11">
        <v>21</v>
      </c>
      <c r="G530" s="11">
        <v>100</v>
      </c>
      <c r="H530" s="11" t="s">
        <v>35</v>
      </c>
      <c r="I530" s="10" t="s">
        <v>24</v>
      </c>
      <c r="J530" s="32">
        <v>1.23</v>
      </c>
      <c r="K530" s="11"/>
      <c r="L530" s="2"/>
    </row>
    <row r="531" spans="1:12" s="29" customFormat="1" ht="27.75" customHeight="1">
      <c r="A531" s="22" t="s">
        <v>205</v>
      </c>
      <c r="B531" s="33"/>
      <c r="C531" s="33"/>
      <c r="D531" s="33"/>
      <c r="E531" s="33"/>
      <c r="F531" s="33"/>
      <c r="G531" s="33"/>
      <c r="H531" s="33"/>
      <c r="I531" s="34"/>
      <c r="J531" s="33"/>
      <c r="K531" s="35"/>
      <c r="L531" s="36"/>
    </row>
    <row r="532" spans="1:12" ht="24" customHeight="1"/>
    <row r="533" spans="1:12" ht="24" customHeight="1"/>
    <row r="534" spans="1:12" ht="24" customHeight="1"/>
    <row r="535" spans="1:12" ht="24" customHeight="1"/>
    <row r="536" spans="1:12" ht="36.75" customHeight="1"/>
    <row r="537" spans="1:12" ht="36.75" customHeight="1"/>
    <row r="538" spans="1:12" ht="36.75" customHeight="1"/>
    <row r="539" spans="1:12" ht="36.75" customHeight="1"/>
    <row r="540" spans="1:12" ht="36.75" customHeight="1"/>
    <row r="541" spans="1:12" ht="36.75" customHeight="1"/>
    <row r="542" spans="1:12" ht="36.75" customHeight="1"/>
    <row r="543" spans="1:12" ht="36.75" customHeight="1"/>
    <row r="544" spans="1:12" ht="36.75" customHeight="1"/>
    <row r="545" ht="36.75" customHeight="1"/>
    <row r="546" ht="36.75" customHeight="1"/>
    <row r="547" ht="36.75" customHeight="1"/>
    <row r="548" ht="36.75" customHeight="1"/>
    <row r="549" ht="36.75" customHeight="1"/>
    <row r="550" ht="36.75" customHeight="1"/>
    <row r="551" ht="36.75" customHeight="1"/>
    <row r="552" ht="36.75" customHeight="1"/>
    <row r="553" ht="36.75" customHeight="1"/>
    <row r="554" ht="36.75" customHeight="1"/>
    <row r="555" ht="36.75" customHeight="1"/>
    <row r="556" ht="36.75" customHeight="1"/>
    <row r="557" ht="36.75" customHeight="1"/>
    <row r="558" ht="36.75" customHeight="1"/>
    <row r="559" ht="36.75" customHeight="1"/>
    <row r="560" ht="36.75" customHeight="1"/>
    <row r="561" ht="36.75" customHeight="1"/>
    <row r="562" ht="36.75" customHeight="1"/>
    <row r="563" ht="36.75" customHeight="1"/>
    <row r="564" ht="36.75" customHeight="1"/>
    <row r="565" ht="36.75" customHeight="1"/>
    <row r="566" ht="36.75" customHeight="1"/>
    <row r="567" ht="36.75" customHeight="1"/>
    <row r="568" ht="36.75" customHeight="1"/>
    <row r="569" ht="36.75" customHeight="1"/>
    <row r="570" ht="36.75" customHeight="1"/>
    <row r="571" ht="36.75" customHeight="1"/>
    <row r="572" ht="36.75" customHeight="1"/>
    <row r="573" ht="36.75" customHeight="1"/>
    <row r="574" ht="36.75" customHeight="1"/>
    <row r="575" ht="36.75" customHeight="1"/>
    <row r="576" ht="36.75" customHeight="1"/>
    <row r="577" ht="36.75" customHeight="1"/>
    <row r="578" ht="36.75" customHeight="1"/>
    <row r="579" ht="36.75" customHeight="1"/>
    <row r="580" ht="36.75" customHeight="1"/>
    <row r="581" ht="36.75" customHeight="1"/>
    <row r="582" ht="36.75" customHeight="1"/>
    <row r="583" ht="36.75" customHeight="1"/>
    <row r="584" ht="36.75" customHeight="1"/>
    <row r="585" ht="36.75" customHeight="1"/>
    <row r="586" ht="36.75" customHeight="1"/>
    <row r="587" ht="36.75" customHeight="1"/>
    <row r="588" ht="36.75" customHeight="1"/>
    <row r="589" ht="36.75" customHeight="1"/>
    <row r="590" ht="36.75" customHeight="1"/>
    <row r="591" ht="36.75" customHeight="1"/>
    <row r="592" ht="36.75" customHeight="1"/>
    <row r="593" ht="36.75" customHeight="1"/>
    <row r="594" ht="36.75" customHeight="1"/>
  </sheetData>
  <mergeCells count="161">
    <mergeCell ref="C502:C504"/>
    <mergeCell ref="C505:C509"/>
    <mergeCell ref="C511:C514"/>
    <mergeCell ref="C517:C520"/>
    <mergeCell ref="C521:C526"/>
    <mergeCell ref="C527:C530"/>
    <mergeCell ref="D2:D3"/>
    <mergeCell ref="H2:H3"/>
    <mergeCell ref="I2:I3"/>
    <mergeCell ref="C447:C450"/>
    <mergeCell ref="C451:C456"/>
    <mergeCell ref="C460:C462"/>
    <mergeCell ref="C463:C470"/>
    <mergeCell ref="C471:C474"/>
    <mergeCell ref="C476:C480"/>
    <mergeCell ref="C481:C490"/>
    <mergeCell ref="C493:C497"/>
    <mergeCell ref="C498:C500"/>
    <mergeCell ref="C343:C348"/>
    <mergeCell ref="C349:C352"/>
    <mergeCell ref="C355:C358"/>
    <mergeCell ref="C360:C362"/>
    <mergeCell ref="C364:C366"/>
    <mergeCell ref="C368:C371"/>
    <mergeCell ref="C372:C379"/>
    <mergeCell ref="C381:C383"/>
    <mergeCell ref="C385:C389"/>
    <mergeCell ref="C290:C298"/>
    <mergeCell ref="C299:C301"/>
    <mergeCell ref="C303:C306"/>
    <mergeCell ref="C307:C313"/>
    <mergeCell ref="C314:C317"/>
    <mergeCell ref="C318:C325"/>
    <mergeCell ref="C328:C331"/>
    <mergeCell ref="C332:C335"/>
    <mergeCell ref="C336:C342"/>
    <mergeCell ref="C186:C187"/>
    <mergeCell ref="C189:C193"/>
    <mergeCell ref="C194:C198"/>
    <mergeCell ref="C199:C203"/>
    <mergeCell ref="C204:C208"/>
    <mergeCell ref="C210:C216"/>
    <mergeCell ref="C217:C219"/>
    <mergeCell ref="C220:C222"/>
    <mergeCell ref="C224:C229"/>
    <mergeCell ref="B446:B457"/>
    <mergeCell ref="B459:B474"/>
    <mergeCell ref="B476:B491"/>
    <mergeCell ref="B493:B500"/>
    <mergeCell ref="B502:B509"/>
    <mergeCell ref="B511:B515"/>
    <mergeCell ref="B517:B526"/>
    <mergeCell ref="B527:B530"/>
    <mergeCell ref="C2:C3"/>
    <mergeCell ref="C6:C23"/>
    <mergeCell ref="C24:C34"/>
    <mergeCell ref="C35:C45"/>
    <mergeCell ref="C46:C56"/>
    <mergeCell ref="C57:C65"/>
    <mergeCell ref="C66:C68"/>
    <mergeCell ref="C70:C76"/>
    <mergeCell ref="C77:C83"/>
    <mergeCell ref="C84:C87"/>
    <mergeCell ref="C88:C95"/>
    <mergeCell ref="C97:C102"/>
    <mergeCell ref="C103:C111"/>
    <mergeCell ref="C112:C125"/>
    <mergeCell ref="C126:C138"/>
    <mergeCell ref="C140:C145"/>
    <mergeCell ref="B327:B342"/>
    <mergeCell ref="B343:B352"/>
    <mergeCell ref="B354:B362"/>
    <mergeCell ref="B364:B366"/>
    <mergeCell ref="B368:B379"/>
    <mergeCell ref="B381:B383"/>
    <mergeCell ref="B385:B400"/>
    <mergeCell ref="B403:B410"/>
    <mergeCell ref="B411:B434"/>
    <mergeCell ref="A458:B458"/>
    <mergeCell ref="A475:B475"/>
    <mergeCell ref="A492:B492"/>
    <mergeCell ref="A501:B501"/>
    <mergeCell ref="A510:B510"/>
    <mergeCell ref="A516:B516"/>
    <mergeCell ref="A2:A3"/>
    <mergeCell ref="B2:B3"/>
    <mergeCell ref="B6:B34"/>
    <mergeCell ref="B35:B56"/>
    <mergeCell ref="B57:B68"/>
    <mergeCell ref="B70:B83"/>
    <mergeCell ref="B84:B95"/>
    <mergeCell ref="B97:B111"/>
    <mergeCell ref="B112:B138"/>
    <mergeCell ref="B140:B162"/>
    <mergeCell ref="B164:B173"/>
    <mergeCell ref="B174:B184"/>
    <mergeCell ref="B186:B187"/>
    <mergeCell ref="B189:B208"/>
    <mergeCell ref="B210:B216"/>
    <mergeCell ref="B217:B219"/>
    <mergeCell ref="B220:B222"/>
    <mergeCell ref="B224:B229"/>
    <mergeCell ref="A353:B353"/>
    <mergeCell ref="A363:B363"/>
    <mergeCell ref="A367:B367"/>
    <mergeCell ref="A380:B380"/>
    <mergeCell ref="A384:B384"/>
    <mergeCell ref="A401:C401"/>
    <mergeCell ref="A402:B402"/>
    <mergeCell ref="A435:B435"/>
    <mergeCell ref="A445:B445"/>
    <mergeCell ref="B436:B444"/>
    <mergeCell ref="C391:C395"/>
    <mergeCell ref="C396:C400"/>
    <mergeCell ref="C403:C406"/>
    <mergeCell ref="C407:C410"/>
    <mergeCell ref="C411:C422"/>
    <mergeCell ref="C423:C434"/>
    <mergeCell ref="C436:C441"/>
    <mergeCell ref="C442:C444"/>
    <mergeCell ref="A188:B188"/>
    <mergeCell ref="A209:B209"/>
    <mergeCell ref="A223:B223"/>
    <mergeCell ref="A230:B230"/>
    <mergeCell ref="A237:C237"/>
    <mergeCell ref="A238:B238"/>
    <mergeCell ref="A260:B260"/>
    <mergeCell ref="A302:B302"/>
    <mergeCell ref="A326:B326"/>
    <mergeCell ref="B231:B236"/>
    <mergeCell ref="B239:B245"/>
    <mergeCell ref="B246:B251"/>
    <mergeCell ref="B252:B255"/>
    <mergeCell ref="B256:B259"/>
    <mergeCell ref="B261:B298"/>
    <mergeCell ref="B299:B301"/>
    <mergeCell ref="B303:B313"/>
    <mergeCell ref="B314:B325"/>
    <mergeCell ref="C231:C236"/>
    <mergeCell ref="C239:C245"/>
    <mergeCell ref="C246:C251"/>
    <mergeCell ref="C252:C255"/>
    <mergeCell ref="C256:C259"/>
    <mergeCell ref="C261:C289"/>
    <mergeCell ref="A1:K1"/>
    <mergeCell ref="E2:G2"/>
    <mergeCell ref="A4:C4"/>
    <mergeCell ref="A5:B5"/>
    <mergeCell ref="A69:B69"/>
    <mergeCell ref="A96:B96"/>
    <mergeCell ref="A139:B139"/>
    <mergeCell ref="A163:B163"/>
    <mergeCell ref="A185:B185"/>
    <mergeCell ref="C146:C154"/>
    <mergeCell ref="C155:C162"/>
    <mergeCell ref="C164:C170"/>
    <mergeCell ref="C171:C173"/>
    <mergeCell ref="C174:C179"/>
    <mergeCell ref="C180:C184"/>
    <mergeCell ref="J2:J3"/>
    <mergeCell ref="K2:K3"/>
  </mergeCells>
  <phoneticPr fontId="2" type="noConversion"/>
  <printOptions horizontalCentered="1"/>
  <pageMargins left="0.23958333333333301" right="0.23958333333333301" top="0.389583333333333" bottom="0.58958333333333302" header="0.34930555555555598" footer="7.9861111111111105E-2"/>
  <pageSetup paperSize="9" scale="75" orientation="portrait" horizontalDpi="300" verticalDpi="300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S263"/>
  <sheetViews>
    <sheetView workbookViewId="0">
      <selection activeCell="M8" sqref="M8"/>
    </sheetView>
  </sheetViews>
  <sheetFormatPr defaultColWidth="8.75" defaultRowHeight="14.25"/>
  <cols>
    <col min="1" max="1" width="4.625" style="3" customWidth="1"/>
    <col min="2" max="3" width="8.25" style="3" customWidth="1"/>
    <col min="4" max="4" width="13.5" style="3" customWidth="1"/>
    <col min="5" max="7" width="5.875" style="3" customWidth="1"/>
    <col min="8" max="8" width="21.875" style="3" customWidth="1"/>
    <col min="9" max="9" width="6" style="4" customWidth="1"/>
    <col min="10" max="10" width="7.375" style="5" customWidth="1"/>
    <col min="11" max="11" width="11.125" style="6" customWidth="1"/>
    <col min="12" max="30" width="9" style="4" customWidth="1"/>
    <col min="31" max="16384" width="8.75" style="4"/>
  </cols>
  <sheetData>
    <row r="1" spans="1:12" ht="30.95" customHeight="1">
      <c r="A1" s="37" t="s">
        <v>206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2" s="1" customFormat="1" ht="26.25" customHeight="1">
      <c r="A2" s="45" t="s">
        <v>1</v>
      </c>
      <c r="B2" s="45" t="s">
        <v>2</v>
      </c>
      <c r="C2" s="45" t="s">
        <v>3</v>
      </c>
      <c r="D2" s="45" t="s">
        <v>4</v>
      </c>
      <c r="E2" s="64" t="s">
        <v>5</v>
      </c>
      <c r="F2" s="64"/>
      <c r="G2" s="64"/>
      <c r="H2" s="45" t="s">
        <v>6</v>
      </c>
      <c r="I2" s="45" t="s">
        <v>7</v>
      </c>
      <c r="J2" s="63" t="s">
        <v>8</v>
      </c>
      <c r="K2" s="69" t="s">
        <v>9</v>
      </c>
    </row>
    <row r="3" spans="1:12" s="2" customFormat="1" ht="26.25" customHeight="1">
      <c r="A3" s="45"/>
      <c r="B3" s="45"/>
      <c r="C3" s="45"/>
      <c r="D3" s="45"/>
      <c r="E3" s="8" t="s">
        <v>10</v>
      </c>
      <c r="F3" s="7" t="s">
        <v>11</v>
      </c>
      <c r="G3" s="7" t="s">
        <v>12</v>
      </c>
      <c r="H3" s="45"/>
      <c r="I3" s="45"/>
      <c r="J3" s="63"/>
      <c r="K3" s="69"/>
    </row>
    <row r="4" spans="1:12" s="2" customFormat="1" ht="31.5" customHeight="1">
      <c r="A4" s="39" t="s">
        <v>13</v>
      </c>
      <c r="B4" s="39"/>
      <c r="C4" s="39"/>
      <c r="D4" s="9"/>
      <c r="E4" s="10"/>
      <c r="F4" s="11"/>
      <c r="G4" s="11"/>
      <c r="H4" s="11"/>
      <c r="I4" s="11"/>
      <c r="J4" s="16"/>
      <c r="K4" s="11"/>
      <c r="L4"/>
    </row>
    <row r="5" spans="1:12" s="2" customFormat="1" ht="31.5" customHeight="1">
      <c r="A5" s="40" t="s">
        <v>16</v>
      </c>
      <c r="B5" s="40"/>
      <c r="C5" s="11"/>
      <c r="D5" s="11"/>
      <c r="E5" s="10"/>
      <c r="F5" s="11"/>
      <c r="G5" s="11"/>
      <c r="H5" s="11"/>
      <c r="I5" s="11"/>
      <c r="J5" s="16"/>
      <c r="K5" s="11"/>
    </row>
    <row r="6" spans="1:12" s="2" customFormat="1" ht="36.6" customHeight="1">
      <c r="A6" s="11">
        <v>1</v>
      </c>
      <c r="B6" s="65">
        <v>-0.1</v>
      </c>
      <c r="C6" s="54" t="s">
        <v>15</v>
      </c>
      <c r="D6" s="12" t="s">
        <v>207</v>
      </c>
      <c r="E6" s="12"/>
      <c r="F6" s="12"/>
      <c r="G6" s="12"/>
      <c r="H6" s="12" t="s">
        <v>208</v>
      </c>
      <c r="I6" s="13" t="s">
        <v>33</v>
      </c>
      <c r="J6" s="17">
        <v>12</v>
      </c>
      <c r="K6" s="11"/>
    </row>
    <row r="7" spans="1:12" s="2" customFormat="1" ht="36.6" customHeight="1">
      <c r="A7" s="11">
        <v>2</v>
      </c>
      <c r="B7" s="66"/>
      <c r="C7" s="55"/>
      <c r="D7" s="12" t="s">
        <v>209</v>
      </c>
      <c r="E7" s="12"/>
      <c r="F7" s="12"/>
      <c r="G7" s="13"/>
      <c r="H7" s="12" t="s">
        <v>210</v>
      </c>
      <c r="I7" s="13" t="s">
        <v>33</v>
      </c>
      <c r="J7" s="17">
        <v>32</v>
      </c>
      <c r="K7" s="11"/>
    </row>
    <row r="8" spans="1:12" s="2" customFormat="1" ht="36.6" customHeight="1">
      <c r="A8" s="11">
        <v>3</v>
      </c>
      <c r="B8" s="66"/>
      <c r="C8" s="55"/>
      <c r="D8" s="12" t="s">
        <v>211</v>
      </c>
      <c r="E8" s="12"/>
      <c r="F8" s="12"/>
      <c r="G8" s="13"/>
      <c r="H8" s="12" t="s">
        <v>212</v>
      </c>
      <c r="I8" s="13" t="s">
        <v>24</v>
      </c>
      <c r="J8" s="17">
        <f>1.77*3+1.5*3</f>
        <v>9.81</v>
      </c>
      <c r="K8" s="11"/>
    </row>
    <row r="9" spans="1:12" s="2" customFormat="1" ht="36.6" customHeight="1">
      <c r="A9" s="11">
        <v>4</v>
      </c>
      <c r="B9" s="66"/>
      <c r="C9" s="55"/>
      <c r="D9" s="12" t="s">
        <v>213</v>
      </c>
      <c r="E9" s="12"/>
      <c r="F9" s="12"/>
      <c r="G9" s="13"/>
      <c r="H9" s="12" t="s">
        <v>214</v>
      </c>
      <c r="I9" s="13" t="s">
        <v>215</v>
      </c>
      <c r="J9" s="17">
        <v>2</v>
      </c>
      <c r="K9" s="11"/>
    </row>
    <row r="10" spans="1:12" s="2" customFormat="1" ht="36.6" customHeight="1">
      <c r="A10" s="11">
        <v>5</v>
      </c>
      <c r="B10" s="66"/>
      <c r="C10" s="55"/>
      <c r="D10" s="12" t="s">
        <v>216</v>
      </c>
      <c r="E10" s="12"/>
      <c r="F10" s="12"/>
      <c r="G10" s="13"/>
      <c r="H10" s="12" t="s">
        <v>212</v>
      </c>
      <c r="I10" s="13" t="s">
        <v>215</v>
      </c>
      <c r="J10" s="17">
        <v>2</v>
      </c>
      <c r="K10" s="11"/>
    </row>
    <row r="11" spans="1:12" s="2" customFormat="1" ht="36.6" customHeight="1">
      <c r="A11" s="11">
        <v>6</v>
      </c>
      <c r="B11" s="66"/>
      <c r="C11" s="55"/>
      <c r="D11" s="12" t="s">
        <v>217</v>
      </c>
      <c r="E11" s="12"/>
      <c r="F11" s="12"/>
      <c r="G11" s="12"/>
      <c r="H11" s="12" t="s">
        <v>212</v>
      </c>
      <c r="I11" s="13" t="s">
        <v>33</v>
      </c>
      <c r="J11" s="17">
        <v>1</v>
      </c>
      <c r="K11" s="11"/>
    </row>
    <row r="12" spans="1:12" s="2" customFormat="1" ht="36.6" customHeight="1">
      <c r="A12" s="11">
        <v>7</v>
      </c>
      <c r="B12" s="66"/>
      <c r="C12" s="55"/>
      <c r="D12" s="12" t="s">
        <v>218</v>
      </c>
      <c r="E12" s="12"/>
      <c r="F12" s="12"/>
      <c r="G12" s="12"/>
      <c r="H12" s="12" t="s">
        <v>212</v>
      </c>
      <c r="I12" s="13" t="s">
        <v>33</v>
      </c>
      <c r="J12" s="17">
        <v>2</v>
      </c>
      <c r="K12" s="11"/>
    </row>
    <row r="13" spans="1:12" s="2" customFormat="1" ht="36.6" customHeight="1">
      <c r="A13" s="11">
        <v>8</v>
      </c>
      <c r="B13" s="66"/>
      <c r="C13" s="55"/>
      <c r="D13" s="12" t="s">
        <v>219</v>
      </c>
      <c r="E13" s="12"/>
      <c r="F13" s="12"/>
      <c r="G13" s="13"/>
      <c r="H13" s="12" t="s">
        <v>212</v>
      </c>
      <c r="I13" s="13" t="s">
        <v>24</v>
      </c>
      <c r="J13" s="17">
        <v>9.66</v>
      </c>
      <c r="K13" s="11"/>
    </row>
    <row r="14" spans="1:12" s="2" customFormat="1" ht="36.6" customHeight="1">
      <c r="A14" s="11">
        <v>9</v>
      </c>
      <c r="B14" s="66"/>
      <c r="C14" s="55"/>
      <c r="D14" s="12" t="s">
        <v>213</v>
      </c>
      <c r="E14" s="12"/>
      <c r="F14" s="12"/>
      <c r="G14" s="13"/>
      <c r="H14" s="12" t="s">
        <v>214</v>
      </c>
      <c r="I14" s="13" t="s">
        <v>215</v>
      </c>
      <c r="J14" s="17">
        <v>2</v>
      </c>
      <c r="K14" s="11"/>
    </row>
    <row r="15" spans="1:12" s="2" customFormat="1" ht="36.6" customHeight="1">
      <c r="A15" s="11">
        <v>10</v>
      </c>
      <c r="B15" s="66"/>
      <c r="C15" s="55"/>
      <c r="D15" s="12" t="s">
        <v>216</v>
      </c>
      <c r="E15" s="12"/>
      <c r="F15" s="12"/>
      <c r="G15" s="13"/>
      <c r="H15" s="12" t="s">
        <v>212</v>
      </c>
      <c r="I15" s="13" t="s">
        <v>215</v>
      </c>
      <c r="J15" s="17">
        <v>2</v>
      </c>
      <c r="K15" s="11"/>
    </row>
    <row r="16" spans="1:12" s="2" customFormat="1" ht="36.6" customHeight="1">
      <c r="A16" s="11">
        <v>11</v>
      </c>
      <c r="B16" s="66"/>
      <c r="C16" s="55"/>
      <c r="D16" s="12" t="s">
        <v>217</v>
      </c>
      <c r="E16" s="12"/>
      <c r="F16" s="12"/>
      <c r="G16" s="12"/>
      <c r="H16" s="12" t="s">
        <v>212</v>
      </c>
      <c r="I16" s="13" t="s">
        <v>33</v>
      </c>
      <c r="J16" s="17">
        <v>1</v>
      </c>
      <c r="K16" s="11"/>
    </row>
    <row r="17" spans="1:17" s="2" customFormat="1" ht="36.6" customHeight="1">
      <c r="A17" s="11">
        <v>13</v>
      </c>
      <c r="B17" s="66"/>
      <c r="C17" s="55"/>
      <c r="D17" s="12" t="s">
        <v>220</v>
      </c>
      <c r="E17" s="12"/>
      <c r="F17" s="12"/>
      <c r="G17" s="13"/>
      <c r="H17" s="12" t="s">
        <v>212</v>
      </c>
      <c r="I17" s="13" t="s">
        <v>24</v>
      </c>
      <c r="J17" s="17">
        <v>9.66</v>
      </c>
      <c r="K17" s="11"/>
    </row>
    <row r="18" spans="1:17" s="2" customFormat="1" ht="36.6" customHeight="1">
      <c r="A18" s="11">
        <v>14</v>
      </c>
      <c r="B18" s="66"/>
      <c r="C18" s="55"/>
      <c r="D18" s="12" t="s">
        <v>213</v>
      </c>
      <c r="E18" s="12"/>
      <c r="F18" s="12"/>
      <c r="G18" s="13"/>
      <c r="H18" s="12" t="s">
        <v>214</v>
      </c>
      <c r="I18" s="13" t="s">
        <v>215</v>
      </c>
      <c r="J18" s="17">
        <v>2</v>
      </c>
      <c r="K18" s="11"/>
    </row>
    <row r="19" spans="1:17" s="2" customFormat="1" ht="36.6" customHeight="1">
      <c r="A19" s="11">
        <v>15</v>
      </c>
      <c r="B19" s="66"/>
      <c r="C19" s="55"/>
      <c r="D19" s="12" t="s">
        <v>216</v>
      </c>
      <c r="E19" s="12"/>
      <c r="F19" s="12"/>
      <c r="G19" s="13"/>
      <c r="H19" s="12" t="s">
        <v>212</v>
      </c>
      <c r="I19" s="13" t="s">
        <v>215</v>
      </c>
      <c r="J19" s="17">
        <v>2</v>
      </c>
      <c r="K19" s="11"/>
    </row>
    <row r="20" spans="1:17" s="2" customFormat="1" ht="36.6" customHeight="1">
      <c r="A20" s="11">
        <v>16</v>
      </c>
      <c r="B20" s="66"/>
      <c r="C20" s="68"/>
      <c r="D20" s="12" t="s">
        <v>217</v>
      </c>
      <c r="E20" s="12"/>
      <c r="F20" s="12"/>
      <c r="G20" s="12"/>
      <c r="H20" s="12" t="s">
        <v>212</v>
      </c>
      <c r="I20" s="13" t="s">
        <v>33</v>
      </c>
      <c r="J20" s="17">
        <v>1</v>
      </c>
      <c r="K20" s="11"/>
      <c r="Q20"/>
    </row>
    <row r="21" spans="1:17" s="2" customFormat="1" ht="36.6" customHeight="1">
      <c r="A21" s="11">
        <v>17</v>
      </c>
      <c r="B21" s="66"/>
      <c r="C21" s="56" t="s">
        <v>47</v>
      </c>
      <c r="D21" s="12" t="s">
        <v>219</v>
      </c>
      <c r="E21" s="12"/>
      <c r="F21" s="12"/>
      <c r="G21" s="13"/>
      <c r="H21" s="12" t="s">
        <v>212</v>
      </c>
      <c r="I21" s="13" t="s">
        <v>24</v>
      </c>
      <c r="J21" s="17">
        <v>3.86</v>
      </c>
      <c r="K21" s="11"/>
    </row>
    <row r="22" spans="1:17" s="2" customFormat="1" ht="36.6" customHeight="1">
      <c r="A22" s="11">
        <v>18</v>
      </c>
      <c r="B22" s="66"/>
      <c r="C22" s="57"/>
      <c r="D22" s="12" t="s">
        <v>213</v>
      </c>
      <c r="E22" s="12"/>
      <c r="F22" s="12"/>
      <c r="G22" s="13"/>
      <c r="H22" s="12" t="s">
        <v>214</v>
      </c>
      <c r="I22" s="13" t="s">
        <v>215</v>
      </c>
      <c r="J22" s="17">
        <v>1</v>
      </c>
      <c r="K22" s="11"/>
    </row>
    <row r="23" spans="1:17" s="2" customFormat="1" ht="36.6" customHeight="1">
      <c r="A23" s="11">
        <v>19</v>
      </c>
      <c r="B23" s="66"/>
      <c r="C23" s="57"/>
      <c r="D23" s="12" t="s">
        <v>216</v>
      </c>
      <c r="E23" s="12"/>
      <c r="F23" s="12"/>
      <c r="G23" s="13"/>
      <c r="H23" s="12" t="s">
        <v>212</v>
      </c>
      <c r="I23" s="13" t="s">
        <v>215</v>
      </c>
      <c r="J23" s="17">
        <v>1</v>
      </c>
      <c r="K23" s="11"/>
    </row>
    <row r="24" spans="1:17" s="2" customFormat="1" ht="36.6" customHeight="1">
      <c r="A24" s="11">
        <v>20</v>
      </c>
      <c r="B24" s="66"/>
      <c r="C24" s="57"/>
      <c r="D24" s="12" t="s">
        <v>217</v>
      </c>
      <c r="E24" s="12"/>
      <c r="F24" s="12"/>
      <c r="G24" s="12"/>
      <c r="H24" s="12" t="s">
        <v>212</v>
      </c>
      <c r="I24" s="13" t="s">
        <v>33</v>
      </c>
      <c r="J24" s="17">
        <v>1</v>
      </c>
      <c r="K24" s="11"/>
    </row>
    <row r="25" spans="1:17" s="2" customFormat="1" ht="36.6" customHeight="1">
      <c r="A25" s="11">
        <v>21</v>
      </c>
      <c r="B25" s="66"/>
      <c r="C25" s="57"/>
      <c r="D25" s="12" t="s">
        <v>220</v>
      </c>
      <c r="E25" s="12"/>
      <c r="F25" s="12"/>
      <c r="G25" s="13"/>
      <c r="H25" s="12" t="s">
        <v>212</v>
      </c>
      <c r="I25" s="13" t="s">
        <v>24</v>
      </c>
      <c r="J25" s="17">
        <v>3.86</v>
      </c>
      <c r="K25" s="11"/>
    </row>
    <row r="26" spans="1:17" s="2" customFormat="1" ht="36.6" customHeight="1">
      <c r="A26" s="11">
        <v>22</v>
      </c>
      <c r="B26" s="66"/>
      <c r="C26" s="57"/>
      <c r="D26" s="12" t="s">
        <v>213</v>
      </c>
      <c r="E26" s="12"/>
      <c r="F26" s="12"/>
      <c r="G26" s="13"/>
      <c r="H26" s="12" t="s">
        <v>214</v>
      </c>
      <c r="I26" s="13" t="s">
        <v>215</v>
      </c>
      <c r="J26" s="17">
        <v>1</v>
      </c>
      <c r="K26" s="11"/>
    </row>
    <row r="27" spans="1:17" s="2" customFormat="1" ht="36.6" customHeight="1">
      <c r="A27" s="11">
        <v>23</v>
      </c>
      <c r="B27" s="66"/>
      <c r="C27" s="57"/>
      <c r="D27" s="12" t="s">
        <v>216</v>
      </c>
      <c r="E27" s="12"/>
      <c r="F27" s="12"/>
      <c r="G27" s="13"/>
      <c r="H27" s="12" t="s">
        <v>212</v>
      </c>
      <c r="I27" s="13" t="s">
        <v>215</v>
      </c>
      <c r="J27" s="17">
        <v>1</v>
      </c>
      <c r="K27" s="11"/>
    </row>
    <row r="28" spans="1:17" s="2" customFormat="1" ht="36.6" customHeight="1">
      <c r="A28" s="11">
        <v>24</v>
      </c>
      <c r="B28" s="67"/>
      <c r="C28" s="58"/>
      <c r="D28" s="12" t="s">
        <v>217</v>
      </c>
      <c r="E28" s="12"/>
      <c r="F28" s="12"/>
      <c r="G28" s="12"/>
      <c r="H28" s="12" t="s">
        <v>212</v>
      </c>
      <c r="I28" s="13" t="s">
        <v>33</v>
      </c>
      <c r="J28" s="17">
        <v>1</v>
      </c>
      <c r="K28" s="11"/>
    </row>
    <row r="29" spans="1:17" s="2" customFormat="1" ht="36.6" customHeight="1">
      <c r="A29" s="11">
        <v>25</v>
      </c>
      <c r="B29" s="65">
        <v>-0.01</v>
      </c>
      <c r="C29" s="54" t="s">
        <v>54</v>
      </c>
      <c r="D29" s="12" t="s">
        <v>221</v>
      </c>
      <c r="E29" s="12"/>
      <c r="F29" s="12"/>
      <c r="G29" s="13"/>
      <c r="H29" s="12" t="s">
        <v>222</v>
      </c>
      <c r="I29" s="13" t="s">
        <v>223</v>
      </c>
      <c r="J29" s="17">
        <v>2</v>
      </c>
      <c r="K29" s="12"/>
    </row>
    <row r="30" spans="1:17" s="2" customFormat="1" ht="36.6" customHeight="1">
      <c r="A30" s="11">
        <v>26</v>
      </c>
      <c r="B30" s="67"/>
      <c r="C30" s="68"/>
      <c r="D30" s="12" t="s">
        <v>224</v>
      </c>
      <c r="E30" s="12"/>
      <c r="F30" s="12"/>
      <c r="G30" s="13"/>
      <c r="H30" s="12" t="s">
        <v>225</v>
      </c>
      <c r="I30" s="13" t="s">
        <v>24</v>
      </c>
      <c r="J30" s="17">
        <v>2.5</v>
      </c>
      <c r="K30" s="11"/>
    </row>
    <row r="31" spans="1:17" s="2" customFormat="1" ht="36.6" customHeight="1">
      <c r="A31" s="11">
        <v>27</v>
      </c>
      <c r="B31" s="65">
        <v>-1E-3</v>
      </c>
      <c r="C31" s="54" t="s">
        <v>68</v>
      </c>
      <c r="D31" s="12" t="s">
        <v>221</v>
      </c>
      <c r="E31" s="12"/>
      <c r="F31" s="12"/>
      <c r="G31" s="13"/>
      <c r="H31" s="12" t="s">
        <v>222</v>
      </c>
      <c r="I31" s="13" t="s">
        <v>223</v>
      </c>
      <c r="J31" s="17">
        <v>1</v>
      </c>
      <c r="K31" s="11"/>
    </row>
    <row r="32" spans="1:17" s="2" customFormat="1" ht="36.6" customHeight="1">
      <c r="A32" s="11">
        <v>28</v>
      </c>
      <c r="B32" s="67"/>
      <c r="C32" s="68"/>
      <c r="D32" s="12" t="s">
        <v>224</v>
      </c>
      <c r="E32" s="12"/>
      <c r="F32" s="12"/>
      <c r="G32" s="13"/>
      <c r="H32" s="12" t="s">
        <v>225</v>
      </c>
      <c r="I32" s="13" t="s">
        <v>24</v>
      </c>
      <c r="J32" s="17">
        <v>1.7</v>
      </c>
      <c r="K32" s="11"/>
    </row>
    <row r="33" spans="1:17" s="2" customFormat="1" ht="36.6" customHeight="1">
      <c r="A33" s="41" t="s">
        <v>71</v>
      </c>
      <c r="B33" s="42"/>
      <c r="C33" s="10"/>
      <c r="D33" s="11"/>
      <c r="E33" s="11"/>
      <c r="F33" s="11"/>
      <c r="G33" s="11"/>
      <c r="H33" s="11"/>
      <c r="I33" s="11"/>
      <c r="J33" s="16"/>
      <c r="K33" s="11"/>
    </row>
    <row r="34" spans="1:17" s="2" customFormat="1" ht="36.6" customHeight="1">
      <c r="A34" s="11"/>
      <c r="B34" s="65">
        <v>-1E-4</v>
      </c>
      <c r="C34" s="56" t="s">
        <v>15</v>
      </c>
      <c r="D34" s="12" t="s">
        <v>209</v>
      </c>
      <c r="E34" s="12"/>
      <c r="F34" s="12"/>
      <c r="G34" s="13"/>
      <c r="H34" s="12" t="s">
        <v>210</v>
      </c>
      <c r="I34" s="13" t="s">
        <v>33</v>
      </c>
      <c r="J34" s="17">
        <v>24</v>
      </c>
      <c r="K34" s="11"/>
    </row>
    <row r="35" spans="1:17" s="2" customFormat="1" ht="36.6" customHeight="1">
      <c r="A35" s="11">
        <v>31</v>
      </c>
      <c r="B35" s="66"/>
      <c r="C35" s="57"/>
      <c r="D35" s="12" t="s">
        <v>226</v>
      </c>
      <c r="E35" s="12"/>
      <c r="F35" s="12"/>
      <c r="G35" s="13"/>
      <c r="H35" s="12" t="s">
        <v>227</v>
      </c>
      <c r="I35" s="13" t="s">
        <v>33</v>
      </c>
      <c r="J35" s="17">
        <v>12</v>
      </c>
      <c r="K35" s="11"/>
    </row>
    <row r="36" spans="1:17" s="2" customFormat="1" ht="36.6" customHeight="1">
      <c r="A36" s="11">
        <v>32</v>
      </c>
      <c r="B36" s="66"/>
      <c r="C36" s="57"/>
      <c r="D36" s="12" t="s">
        <v>219</v>
      </c>
      <c r="E36" s="12"/>
      <c r="F36" s="12"/>
      <c r="G36" s="13"/>
      <c r="H36" s="12" t="s">
        <v>212</v>
      </c>
      <c r="I36" s="13" t="s">
        <v>24</v>
      </c>
      <c r="J36" s="17">
        <f>5.7*3</f>
        <v>17.100000000000001</v>
      </c>
      <c r="K36" s="11"/>
    </row>
    <row r="37" spans="1:17" s="2" customFormat="1" ht="36.6" customHeight="1">
      <c r="A37" s="11">
        <v>33</v>
      </c>
      <c r="B37" s="66"/>
      <c r="C37" s="57"/>
      <c r="D37" s="12" t="s">
        <v>213</v>
      </c>
      <c r="E37" s="12"/>
      <c r="F37" s="12"/>
      <c r="G37" s="13"/>
      <c r="H37" s="12" t="s">
        <v>214</v>
      </c>
      <c r="I37" s="13" t="s">
        <v>215</v>
      </c>
      <c r="J37" s="17">
        <v>3</v>
      </c>
      <c r="K37" s="11"/>
    </row>
    <row r="38" spans="1:17" s="2" customFormat="1" ht="36.6" customHeight="1">
      <c r="A38" s="11">
        <v>34</v>
      </c>
      <c r="B38" s="66"/>
      <c r="C38" s="57"/>
      <c r="D38" s="12" t="s">
        <v>216</v>
      </c>
      <c r="E38" s="12"/>
      <c r="F38" s="12"/>
      <c r="G38" s="13"/>
      <c r="H38" s="12" t="s">
        <v>212</v>
      </c>
      <c r="I38" s="13" t="s">
        <v>215</v>
      </c>
      <c r="J38" s="17">
        <v>3</v>
      </c>
      <c r="K38" s="11"/>
    </row>
    <row r="39" spans="1:17" s="2" customFormat="1" ht="36.6" customHeight="1">
      <c r="A39" s="11">
        <v>35</v>
      </c>
      <c r="B39" s="67"/>
      <c r="C39" s="58"/>
      <c r="D39" s="12" t="s">
        <v>217</v>
      </c>
      <c r="E39" s="12"/>
      <c r="F39" s="12"/>
      <c r="G39" s="12"/>
      <c r="H39" s="12" t="s">
        <v>212</v>
      </c>
      <c r="I39" s="13" t="s">
        <v>33</v>
      </c>
      <c r="J39" s="17">
        <v>3</v>
      </c>
      <c r="K39" s="11"/>
    </row>
    <row r="40" spans="1:17" s="2" customFormat="1" ht="36.6" customHeight="1">
      <c r="A40" s="41" t="s">
        <v>81</v>
      </c>
      <c r="B40" s="42"/>
      <c r="C40" s="10"/>
      <c r="D40" s="11"/>
      <c r="E40" s="11"/>
      <c r="F40" s="11"/>
      <c r="G40" s="11"/>
      <c r="H40" s="11"/>
      <c r="I40" s="11"/>
      <c r="J40" s="16"/>
      <c r="K40" s="11"/>
    </row>
    <row r="41" spans="1:17" s="2" customFormat="1" ht="36.6" customHeight="1">
      <c r="A41" s="11"/>
      <c r="B41" s="65">
        <v>-9.9999999999999995E-7</v>
      </c>
      <c r="C41" s="56" t="s">
        <v>15</v>
      </c>
      <c r="D41" s="12" t="s">
        <v>209</v>
      </c>
      <c r="E41" s="12"/>
      <c r="F41" s="12"/>
      <c r="G41" s="13"/>
      <c r="H41" s="12" t="s">
        <v>210</v>
      </c>
      <c r="I41" s="13" t="s">
        <v>33</v>
      </c>
      <c r="J41" s="17">
        <v>20</v>
      </c>
      <c r="K41" s="11"/>
    </row>
    <row r="42" spans="1:17" s="2" customFormat="1" ht="36.6" customHeight="1">
      <c r="A42" s="11">
        <v>38</v>
      </c>
      <c r="B42" s="66"/>
      <c r="C42" s="57"/>
      <c r="D42" s="12" t="s">
        <v>219</v>
      </c>
      <c r="E42" s="12"/>
      <c r="F42" s="12"/>
      <c r="G42" s="13"/>
      <c r="H42" s="12" t="s">
        <v>212</v>
      </c>
      <c r="I42" s="13" t="s">
        <v>24</v>
      </c>
      <c r="J42" s="17">
        <v>13.12</v>
      </c>
      <c r="K42" s="11"/>
    </row>
    <row r="43" spans="1:17" s="2" customFormat="1" ht="36.6" customHeight="1">
      <c r="A43" s="11">
        <v>39</v>
      </c>
      <c r="B43" s="66"/>
      <c r="C43" s="57"/>
      <c r="D43" s="12" t="s">
        <v>213</v>
      </c>
      <c r="E43" s="12"/>
      <c r="F43" s="12"/>
      <c r="G43" s="13"/>
      <c r="H43" s="12" t="s">
        <v>214</v>
      </c>
      <c r="I43" s="13" t="s">
        <v>215</v>
      </c>
      <c r="J43" s="17">
        <v>2</v>
      </c>
      <c r="K43" s="11"/>
      <c r="Q43"/>
    </row>
    <row r="44" spans="1:17" s="2" customFormat="1" ht="36.6" customHeight="1">
      <c r="A44" s="11">
        <v>40</v>
      </c>
      <c r="B44" s="66"/>
      <c r="C44" s="57"/>
      <c r="D44" s="12" t="s">
        <v>216</v>
      </c>
      <c r="E44" s="12"/>
      <c r="F44" s="12"/>
      <c r="G44" s="13"/>
      <c r="H44" s="12" t="s">
        <v>212</v>
      </c>
      <c r="I44" s="13" t="s">
        <v>215</v>
      </c>
      <c r="J44" s="17">
        <v>2</v>
      </c>
      <c r="K44" s="11"/>
    </row>
    <row r="45" spans="1:17" s="2" customFormat="1" ht="36.6" customHeight="1">
      <c r="A45" s="11">
        <v>41</v>
      </c>
      <c r="B45" s="67"/>
      <c r="C45" s="58"/>
      <c r="D45" s="12" t="s">
        <v>217</v>
      </c>
      <c r="E45" s="12"/>
      <c r="F45" s="12"/>
      <c r="G45" s="12"/>
      <c r="H45" s="12" t="s">
        <v>212</v>
      </c>
      <c r="I45" s="13" t="s">
        <v>33</v>
      </c>
      <c r="J45" s="17">
        <v>2</v>
      </c>
      <c r="K45" s="11"/>
    </row>
    <row r="46" spans="1:17" s="2" customFormat="1" ht="36.6" customHeight="1">
      <c r="A46" s="11">
        <v>42</v>
      </c>
      <c r="B46" s="65">
        <v>-9.9999999999999995E-8</v>
      </c>
      <c r="C46" s="54" t="s">
        <v>15</v>
      </c>
      <c r="D46" s="12" t="s">
        <v>228</v>
      </c>
      <c r="E46" s="12"/>
      <c r="F46" s="12"/>
      <c r="G46" s="13"/>
      <c r="H46" s="12" t="s">
        <v>210</v>
      </c>
      <c r="I46" s="13" t="s">
        <v>33</v>
      </c>
      <c r="J46" s="17">
        <v>8</v>
      </c>
      <c r="K46" s="11"/>
    </row>
    <row r="47" spans="1:17" s="2" customFormat="1" ht="36.6" customHeight="1">
      <c r="A47" s="11"/>
      <c r="B47" s="66"/>
      <c r="C47" s="55"/>
      <c r="D47" s="12" t="s">
        <v>229</v>
      </c>
      <c r="E47" s="12"/>
      <c r="F47" s="12"/>
      <c r="G47" s="13"/>
      <c r="H47" s="12" t="s">
        <v>230</v>
      </c>
      <c r="I47" s="13" t="s">
        <v>33</v>
      </c>
      <c r="J47" s="17">
        <v>8</v>
      </c>
      <c r="K47" s="13"/>
      <c r="L47" s="18"/>
      <c r="M47" s="18"/>
    </row>
    <row r="48" spans="1:17" s="2" customFormat="1" ht="36.6" customHeight="1">
      <c r="A48" s="11"/>
      <c r="B48" s="66"/>
      <c r="C48" s="55"/>
      <c r="D48" s="12" t="s">
        <v>231</v>
      </c>
      <c r="E48" s="12"/>
      <c r="F48" s="12"/>
      <c r="G48" s="12"/>
      <c r="H48" s="12" t="s">
        <v>208</v>
      </c>
      <c r="I48" s="13" t="s">
        <v>33</v>
      </c>
      <c r="J48" s="17">
        <v>2</v>
      </c>
      <c r="K48" s="11"/>
    </row>
    <row r="49" spans="1:13" s="2" customFormat="1" ht="36.6" customHeight="1">
      <c r="A49" s="11"/>
      <c r="B49" s="66"/>
      <c r="C49" s="55"/>
      <c r="D49" s="12" t="s">
        <v>219</v>
      </c>
      <c r="E49" s="12"/>
      <c r="F49" s="12"/>
      <c r="G49" s="13"/>
      <c r="H49" s="12" t="s">
        <v>212</v>
      </c>
      <c r="I49" s="13" t="s">
        <v>24</v>
      </c>
      <c r="J49" s="17">
        <v>1.5</v>
      </c>
      <c r="K49" s="11"/>
    </row>
    <row r="50" spans="1:13" s="2" customFormat="1" ht="36.6" customHeight="1">
      <c r="A50" s="11"/>
      <c r="B50" s="66"/>
      <c r="C50" s="55"/>
      <c r="D50" s="12" t="s">
        <v>213</v>
      </c>
      <c r="E50" s="12"/>
      <c r="F50" s="12"/>
      <c r="G50" s="13"/>
      <c r="H50" s="12" t="s">
        <v>214</v>
      </c>
      <c r="I50" s="13" t="s">
        <v>215</v>
      </c>
      <c r="J50" s="17">
        <v>1</v>
      </c>
      <c r="K50" s="11"/>
    </row>
    <row r="51" spans="1:13" s="2" customFormat="1" ht="36.6" customHeight="1">
      <c r="A51" s="11"/>
      <c r="B51" s="66"/>
      <c r="C51" s="55"/>
      <c r="D51" s="12" t="s">
        <v>216</v>
      </c>
      <c r="E51" s="12"/>
      <c r="F51" s="12"/>
      <c r="G51" s="13"/>
      <c r="H51" s="12" t="s">
        <v>212</v>
      </c>
      <c r="I51" s="13" t="s">
        <v>215</v>
      </c>
      <c r="J51" s="17">
        <v>1</v>
      </c>
      <c r="K51" s="11"/>
    </row>
    <row r="52" spans="1:13" s="2" customFormat="1" ht="36.6" customHeight="1">
      <c r="A52" s="11"/>
      <c r="B52" s="66"/>
      <c r="C52" s="55"/>
      <c r="D52" s="12" t="s">
        <v>217</v>
      </c>
      <c r="E52" s="12"/>
      <c r="F52" s="12"/>
      <c r="G52" s="12"/>
      <c r="H52" s="12" t="s">
        <v>212</v>
      </c>
      <c r="I52" s="13" t="s">
        <v>33</v>
      </c>
      <c r="J52" s="17">
        <v>1</v>
      </c>
      <c r="K52" s="11"/>
    </row>
    <row r="53" spans="1:13" s="2" customFormat="1" ht="36.6" customHeight="1">
      <c r="A53" s="11"/>
      <c r="B53" s="66"/>
      <c r="C53" s="55"/>
      <c r="D53" s="12" t="s">
        <v>231</v>
      </c>
      <c r="E53" s="12"/>
      <c r="F53" s="12"/>
      <c r="G53" s="12"/>
      <c r="H53" s="12" t="s">
        <v>232</v>
      </c>
      <c r="I53" s="13" t="s">
        <v>33</v>
      </c>
      <c r="J53" s="17">
        <v>4</v>
      </c>
      <c r="K53" s="12"/>
      <c r="L53" s="18"/>
      <c r="M53" s="19"/>
    </row>
    <row r="54" spans="1:13" s="2" customFormat="1" ht="36.6" customHeight="1">
      <c r="A54" s="11"/>
      <c r="B54" s="66"/>
      <c r="C54" s="55"/>
      <c r="D54" s="12" t="s">
        <v>233</v>
      </c>
      <c r="E54" s="12"/>
      <c r="F54" s="12"/>
      <c r="G54" s="12"/>
      <c r="H54" s="12" t="s">
        <v>232</v>
      </c>
      <c r="I54" s="13" t="s">
        <v>33</v>
      </c>
      <c r="J54" s="17">
        <v>2</v>
      </c>
      <c r="K54" s="11"/>
    </row>
    <row r="55" spans="1:13" s="2" customFormat="1" ht="36.6" customHeight="1">
      <c r="A55" s="11"/>
      <c r="B55" s="66"/>
      <c r="C55" s="55"/>
      <c r="D55" s="12" t="s">
        <v>209</v>
      </c>
      <c r="E55" s="12"/>
      <c r="F55" s="12"/>
      <c r="G55" s="13"/>
      <c r="H55" s="12" t="s">
        <v>210</v>
      </c>
      <c r="I55" s="13" t="s">
        <v>33</v>
      </c>
      <c r="J55" s="17">
        <v>4</v>
      </c>
      <c r="K55" s="11"/>
    </row>
    <row r="56" spans="1:13" s="2" customFormat="1" ht="36.6" customHeight="1">
      <c r="A56" s="11"/>
      <c r="B56" s="66"/>
      <c r="C56" s="55"/>
      <c r="D56" s="12" t="s">
        <v>234</v>
      </c>
      <c r="E56" s="12"/>
      <c r="F56" s="12"/>
      <c r="G56" s="12"/>
      <c r="H56" s="12" t="s">
        <v>232</v>
      </c>
      <c r="I56" s="13" t="s">
        <v>33</v>
      </c>
      <c r="J56" s="17">
        <v>4</v>
      </c>
      <c r="K56" s="11"/>
    </row>
    <row r="57" spans="1:13" s="2" customFormat="1" ht="36.6" customHeight="1">
      <c r="A57" s="11"/>
      <c r="B57" s="67"/>
      <c r="C57" s="68"/>
      <c r="D57" s="12" t="s">
        <v>209</v>
      </c>
      <c r="E57" s="12"/>
      <c r="F57" s="12"/>
      <c r="G57" s="13"/>
      <c r="H57" s="12" t="s">
        <v>210</v>
      </c>
      <c r="I57" s="13" t="s">
        <v>33</v>
      </c>
      <c r="J57" s="17">
        <v>8</v>
      </c>
      <c r="K57" s="11"/>
    </row>
    <row r="58" spans="1:13" s="2" customFormat="1" ht="36.6" customHeight="1">
      <c r="A58" s="41" t="s">
        <v>98</v>
      </c>
      <c r="B58" s="42"/>
      <c r="C58" s="10"/>
      <c r="D58" s="11"/>
      <c r="E58" s="11"/>
      <c r="F58" s="11"/>
      <c r="G58" s="11"/>
      <c r="H58" s="11"/>
      <c r="I58" s="11"/>
      <c r="J58" s="16"/>
      <c r="K58" s="11"/>
    </row>
    <row r="59" spans="1:13" s="2" customFormat="1" ht="36.6" customHeight="1">
      <c r="A59" s="11"/>
      <c r="B59" s="65">
        <v>-1E-8</v>
      </c>
      <c r="C59" s="56" t="s">
        <v>15</v>
      </c>
      <c r="D59" s="12" t="s">
        <v>234</v>
      </c>
      <c r="E59" s="12"/>
      <c r="F59" s="12"/>
      <c r="G59" s="12"/>
      <c r="H59" s="12" t="s">
        <v>232</v>
      </c>
      <c r="I59" s="13" t="s">
        <v>33</v>
      </c>
      <c r="J59" s="17">
        <v>4</v>
      </c>
      <c r="K59" s="11"/>
    </row>
    <row r="60" spans="1:13" s="2" customFormat="1" ht="36.6" customHeight="1">
      <c r="A60" s="11"/>
      <c r="B60" s="66"/>
      <c r="C60" s="57"/>
      <c r="D60" s="12" t="s">
        <v>209</v>
      </c>
      <c r="E60" s="12"/>
      <c r="F60" s="12"/>
      <c r="G60" s="13"/>
      <c r="H60" s="12" t="s">
        <v>210</v>
      </c>
      <c r="I60" s="13" t="s">
        <v>33</v>
      </c>
      <c r="J60" s="17">
        <v>8</v>
      </c>
      <c r="K60" s="11"/>
    </row>
    <row r="61" spans="1:13" s="2" customFormat="1" ht="36.6" customHeight="1">
      <c r="A61" s="11"/>
      <c r="B61" s="66"/>
      <c r="C61" s="57"/>
      <c r="D61" s="12" t="s">
        <v>211</v>
      </c>
      <c r="E61" s="12"/>
      <c r="F61" s="12"/>
      <c r="G61" s="13"/>
      <c r="H61" s="12" t="s">
        <v>212</v>
      </c>
      <c r="I61" s="13" t="s">
        <v>24</v>
      </c>
      <c r="J61" s="17">
        <v>3.56</v>
      </c>
      <c r="K61" s="11"/>
    </row>
    <row r="62" spans="1:13" s="2" customFormat="1" ht="36.6" customHeight="1">
      <c r="A62" s="11"/>
      <c r="B62" s="66"/>
      <c r="C62" s="57"/>
      <c r="D62" s="12" t="s">
        <v>213</v>
      </c>
      <c r="E62" s="12"/>
      <c r="F62" s="12"/>
      <c r="G62" s="13"/>
      <c r="H62" s="12" t="s">
        <v>214</v>
      </c>
      <c r="I62" s="13" t="s">
        <v>215</v>
      </c>
      <c r="J62" s="17">
        <v>1</v>
      </c>
      <c r="K62" s="11"/>
    </row>
    <row r="63" spans="1:13" s="2" customFormat="1" ht="36.6" customHeight="1">
      <c r="A63" s="11"/>
      <c r="B63" s="66"/>
      <c r="C63" s="57"/>
      <c r="D63" s="12" t="s">
        <v>216</v>
      </c>
      <c r="E63" s="12"/>
      <c r="F63" s="12"/>
      <c r="G63" s="13"/>
      <c r="H63" s="12" t="s">
        <v>212</v>
      </c>
      <c r="I63" s="13" t="s">
        <v>215</v>
      </c>
      <c r="J63" s="17">
        <v>1</v>
      </c>
      <c r="K63" s="11"/>
    </row>
    <row r="64" spans="1:13" s="2" customFormat="1" ht="36.6" customHeight="1">
      <c r="A64" s="11"/>
      <c r="B64" s="66"/>
      <c r="C64" s="57"/>
      <c r="D64" s="12" t="s">
        <v>217</v>
      </c>
      <c r="E64" s="12"/>
      <c r="F64" s="12"/>
      <c r="G64" s="12"/>
      <c r="H64" s="12" t="s">
        <v>212</v>
      </c>
      <c r="I64" s="13" t="s">
        <v>33</v>
      </c>
      <c r="J64" s="17">
        <v>1</v>
      </c>
      <c r="K64" s="11"/>
    </row>
    <row r="65" spans="1:17" s="2" customFormat="1" ht="36.6" customHeight="1">
      <c r="A65" s="11"/>
      <c r="B65" s="66"/>
      <c r="C65" s="57"/>
      <c r="D65" s="12" t="s">
        <v>233</v>
      </c>
      <c r="E65" s="12"/>
      <c r="F65" s="12"/>
      <c r="G65" s="12"/>
      <c r="H65" s="12" t="s">
        <v>232</v>
      </c>
      <c r="I65" s="13" t="s">
        <v>33</v>
      </c>
      <c r="J65" s="17">
        <v>4</v>
      </c>
      <c r="K65" s="11"/>
    </row>
    <row r="66" spans="1:17" s="2" customFormat="1" ht="36.6" customHeight="1">
      <c r="A66" s="11"/>
      <c r="B66" s="66"/>
      <c r="C66" s="57"/>
      <c r="D66" s="12" t="s">
        <v>209</v>
      </c>
      <c r="E66" s="12"/>
      <c r="F66" s="12"/>
      <c r="G66" s="13"/>
      <c r="H66" s="12" t="s">
        <v>210</v>
      </c>
      <c r="I66" s="13" t="s">
        <v>33</v>
      </c>
      <c r="J66" s="17">
        <v>8</v>
      </c>
      <c r="K66" s="11"/>
    </row>
    <row r="67" spans="1:17" s="2" customFormat="1" ht="36.6" customHeight="1">
      <c r="A67" s="11"/>
      <c r="B67" s="66"/>
      <c r="C67" s="58"/>
      <c r="D67" s="11" t="s">
        <v>235</v>
      </c>
      <c r="E67" s="20"/>
      <c r="F67" s="11"/>
      <c r="G67" s="10"/>
      <c r="H67" s="11" t="s">
        <v>236</v>
      </c>
      <c r="I67" s="10" t="s">
        <v>33</v>
      </c>
      <c r="J67" s="17">
        <v>8</v>
      </c>
      <c r="K67" s="13"/>
      <c r="L67" s="18"/>
      <c r="M67" s="18"/>
      <c r="N67"/>
    </row>
    <row r="68" spans="1:17" s="2" customFormat="1" ht="36.6" customHeight="1">
      <c r="A68" s="11"/>
      <c r="B68" s="66"/>
      <c r="C68" s="54" t="s">
        <v>47</v>
      </c>
      <c r="D68" s="12" t="s">
        <v>237</v>
      </c>
      <c r="E68" s="12"/>
      <c r="F68" s="12"/>
      <c r="G68" s="12"/>
      <c r="H68" s="12" t="s">
        <v>232</v>
      </c>
      <c r="I68" s="13" t="s">
        <v>33</v>
      </c>
      <c r="J68" s="17">
        <v>2</v>
      </c>
      <c r="K68" s="11"/>
    </row>
    <row r="69" spans="1:17" s="2" customFormat="1" ht="36.6" customHeight="1">
      <c r="A69" s="11"/>
      <c r="B69" s="66"/>
      <c r="C69" s="55"/>
      <c r="D69" s="12" t="s">
        <v>209</v>
      </c>
      <c r="E69" s="12"/>
      <c r="F69" s="12"/>
      <c r="G69" s="13"/>
      <c r="H69" s="12" t="s">
        <v>210</v>
      </c>
      <c r="I69" s="13" t="s">
        <v>33</v>
      </c>
      <c r="J69" s="17">
        <v>4</v>
      </c>
      <c r="K69" s="11"/>
      <c r="Q69"/>
    </row>
    <row r="70" spans="1:17" s="2" customFormat="1" ht="36.6" customHeight="1">
      <c r="A70" s="11"/>
      <c r="B70" s="66"/>
      <c r="C70" s="55"/>
      <c r="D70" s="12" t="s">
        <v>211</v>
      </c>
      <c r="E70" s="12"/>
      <c r="F70" s="12"/>
      <c r="G70" s="13"/>
      <c r="H70" s="12" t="s">
        <v>212</v>
      </c>
      <c r="I70" s="13" t="s">
        <v>24</v>
      </c>
      <c r="J70" s="17">
        <v>1.08</v>
      </c>
      <c r="K70" s="11"/>
    </row>
    <row r="71" spans="1:17" s="2" customFormat="1" ht="36.6" customHeight="1">
      <c r="A71" s="11"/>
      <c r="B71" s="66"/>
      <c r="C71" s="55"/>
      <c r="D71" s="12" t="s">
        <v>217</v>
      </c>
      <c r="E71" s="12"/>
      <c r="F71" s="12"/>
      <c r="G71" s="12"/>
      <c r="H71" s="12" t="s">
        <v>212</v>
      </c>
      <c r="I71" s="13" t="s">
        <v>33</v>
      </c>
      <c r="J71" s="17">
        <v>1</v>
      </c>
      <c r="K71" s="11"/>
    </row>
    <row r="72" spans="1:17" s="2" customFormat="1" ht="36.6" customHeight="1">
      <c r="A72" s="11"/>
      <c r="B72" s="66"/>
      <c r="C72" s="55"/>
      <c r="D72" s="12" t="s">
        <v>233</v>
      </c>
      <c r="E72" s="12"/>
      <c r="F72" s="12"/>
      <c r="G72" s="12"/>
      <c r="H72" s="12" t="s">
        <v>232</v>
      </c>
      <c r="I72" s="13" t="s">
        <v>33</v>
      </c>
      <c r="J72" s="17">
        <v>4</v>
      </c>
      <c r="K72" s="11"/>
    </row>
    <row r="73" spans="1:17" s="2" customFormat="1" ht="36.6" customHeight="1">
      <c r="A73" s="11"/>
      <c r="B73" s="66"/>
      <c r="C73" s="55"/>
      <c r="D73" s="12" t="s">
        <v>209</v>
      </c>
      <c r="E73" s="12"/>
      <c r="F73" s="12"/>
      <c r="G73" s="13"/>
      <c r="H73" s="12" t="s">
        <v>210</v>
      </c>
      <c r="I73" s="13" t="s">
        <v>33</v>
      </c>
      <c r="J73" s="17">
        <v>8</v>
      </c>
      <c r="K73" s="11"/>
    </row>
    <row r="74" spans="1:17" s="2" customFormat="1" ht="36.6" customHeight="1">
      <c r="A74" s="11"/>
      <c r="B74" s="66"/>
      <c r="C74" s="55"/>
      <c r="D74" s="11" t="s">
        <v>235</v>
      </c>
      <c r="E74" s="20"/>
      <c r="F74" s="11"/>
      <c r="G74" s="10"/>
      <c r="H74" s="11" t="s">
        <v>236</v>
      </c>
      <c r="I74" s="10" t="s">
        <v>33</v>
      </c>
      <c r="J74" s="17">
        <v>4</v>
      </c>
      <c r="K74" s="11"/>
    </row>
    <row r="75" spans="1:17" s="2" customFormat="1" ht="36.6" customHeight="1">
      <c r="A75" s="11"/>
      <c r="B75" s="66"/>
      <c r="C75" s="55"/>
      <c r="D75" s="12" t="s">
        <v>238</v>
      </c>
      <c r="E75" s="12"/>
      <c r="F75" s="12"/>
      <c r="G75" s="12"/>
      <c r="H75" s="12" t="s">
        <v>232</v>
      </c>
      <c r="I75" s="13" t="s">
        <v>33</v>
      </c>
      <c r="J75" s="17">
        <v>6</v>
      </c>
      <c r="K75" s="11"/>
    </row>
    <row r="76" spans="1:17" s="2" customFormat="1" ht="36.6" customHeight="1">
      <c r="A76" s="11"/>
      <c r="B76" s="66"/>
      <c r="C76" s="55"/>
      <c r="D76" s="12" t="s">
        <v>209</v>
      </c>
      <c r="E76" s="12"/>
      <c r="F76" s="12"/>
      <c r="G76" s="13"/>
      <c r="H76" s="12" t="s">
        <v>210</v>
      </c>
      <c r="I76" s="13" t="s">
        <v>33</v>
      </c>
      <c r="J76" s="17">
        <v>17</v>
      </c>
      <c r="K76" s="11"/>
    </row>
    <row r="77" spans="1:17" s="2" customFormat="1" ht="36.6" customHeight="1">
      <c r="A77" s="11"/>
      <c r="B77" s="66"/>
      <c r="C77" s="68"/>
      <c r="D77" s="11" t="s">
        <v>235</v>
      </c>
      <c r="E77" s="20"/>
      <c r="F77" s="11"/>
      <c r="G77" s="10"/>
      <c r="H77" s="11" t="s">
        <v>236</v>
      </c>
      <c r="I77" s="10" t="s">
        <v>33</v>
      </c>
      <c r="J77" s="17">
        <v>6</v>
      </c>
      <c r="K77" s="11"/>
    </row>
    <row r="78" spans="1:17" s="2" customFormat="1" ht="36.6" customHeight="1">
      <c r="A78" s="11"/>
      <c r="B78" s="66"/>
      <c r="C78" s="54" t="s">
        <v>61</v>
      </c>
      <c r="D78" s="12" t="s">
        <v>239</v>
      </c>
      <c r="E78" s="12"/>
      <c r="F78" s="12"/>
      <c r="G78" s="13"/>
      <c r="H78" s="12" t="s">
        <v>210</v>
      </c>
      <c r="I78" s="13" t="s">
        <v>33</v>
      </c>
      <c r="J78" s="17">
        <v>4</v>
      </c>
      <c r="K78" s="11"/>
    </row>
    <row r="79" spans="1:17" s="2" customFormat="1" ht="36.6" customHeight="1">
      <c r="A79" s="11"/>
      <c r="B79" s="66"/>
      <c r="C79" s="55"/>
      <c r="D79" s="12" t="s">
        <v>233</v>
      </c>
      <c r="E79" s="12"/>
      <c r="F79" s="12"/>
      <c r="G79" s="12"/>
      <c r="H79" s="12" t="s">
        <v>232</v>
      </c>
      <c r="I79" s="13" t="s">
        <v>33</v>
      </c>
      <c r="J79" s="17">
        <v>2</v>
      </c>
      <c r="K79" s="11"/>
    </row>
    <row r="80" spans="1:17" s="2" customFormat="1" ht="36.6" customHeight="1">
      <c r="A80" s="11"/>
      <c r="B80" s="66"/>
      <c r="C80" s="55"/>
      <c r="D80" s="12" t="s">
        <v>209</v>
      </c>
      <c r="E80" s="12"/>
      <c r="F80" s="12"/>
      <c r="G80" s="13"/>
      <c r="H80" s="12" t="s">
        <v>210</v>
      </c>
      <c r="I80" s="13" t="s">
        <v>33</v>
      </c>
      <c r="J80" s="17">
        <v>4</v>
      </c>
      <c r="K80" s="11"/>
    </row>
    <row r="81" spans="1:17" s="2" customFormat="1" ht="36.6" customHeight="1">
      <c r="A81" s="11"/>
      <c r="B81" s="66"/>
      <c r="C81" s="55"/>
      <c r="D81" s="12" t="s">
        <v>237</v>
      </c>
      <c r="E81" s="12"/>
      <c r="F81" s="12"/>
      <c r="G81" s="12"/>
      <c r="H81" s="12" t="s">
        <v>232</v>
      </c>
      <c r="I81" s="13" t="s">
        <v>33</v>
      </c>
      <c r="J81" s="17">
        <v>2</v>
      </c>
      <c r="K81" s="11"/>
    </row>
    <row r="82" spans="1:17" s="2" customFormat="1" ht="36.6" customHeight="1">
      <c r="A82" s="11"/>
      <c r="B82" s="66"/>
      <c r="C82" s="55"/>
      <c r="D82" s="12" t="s">
        <v>209</v>
      </c>
      <c r="E82" s="12"/>
      <c r="F82" s="12"/>
      <c r="G82" s="13"/>
      <c r="H82" s="12" t="s">
        <v>210</v>
      </c>
      <c r="I82" s="13" t="s">
        <v>33</v>
      </c>
      <c r="J82" s="17">
        <v>4</v>
      </c>
      <c r="K82" s="11"/>
    </row>
    <row r="83" spans="1:17" s="2" customFormat="1" ht="36.6" customHeight="1">
      <c r="A83" s="11"/>
      <c r="B83" s="66"/>
      <c r="C83" s="55"/>
      <c r="D83" s="12" t="s">
        <v>211</v>
      </c>
      <c r="E83" s="12"/>
      <c r="F83" s="12"/>
      <c r="G83" s="13"/>
      <c r="H83" s="12" t="s">
        <v>212</v>
      </c>
      <c r="I83" s="13" t="s">
        <v>24</v>
      </c>
      <c r="J83" s="17">
        <v>1.08</v>
      </c>
      <c r="K83" s="11"/>
    </row>
    <row r="84" spans="1:17" s="2" customFormat="1" ht="36.6" customHeight="1">
      <c r="A84" s="11"/>
      <c r="B84" s="67"/>
      <c r="C84" s="68"/>
      <c r="D84" s="12" t="s">
        <v>217</v>
      </c>
      <c r="E84" s="12"/>
      <c r="F84" s="12"/>
      <c r="G84" s="12"/>
      <c r="H84" s="12" t="s">
        <v>212</v>
      </c>
      <c r="I84" s="13" t="s">
        <v>33</v>
      </c>
      <c r="J84" s="17">
        <v>1</v>
      </c>
      <c r="K84" s="11"/>
    </row>
    <row r="85" spans="1:17" s="2" customFormat="1" ht="36.6" customHeight="1">
      <c r="A85" s="41" t="s">
        <v>115</v>
      </c>
      <c r="B85" s="42"/>
      <c r="C85" s="10"/>
      <c r="D85" s="11"/>
      <c r="E85" s="11"/>
      <c r="F85" s="11"/>
      <c r="G85" s="11"/>
      <c r="H85" s="11"/>
      <c r="I85" s="11"/>
      <c r="J85" s="16"/>
      <c r="K85" s="11"/>
    </row>
    <row r="86" spans="1:17" s="2" customFormat="1" ht="36.6" customHeight="1">
      <c r="A86" s="11"/>
      <c r="B86" s="65">
        <v>-9.9999999999999994E-12</v>
      </c>
      <c r="C86" s="56" t="s">
        <v>47</v>
      </c>
      <c r="D86" s="12" t="s">
        <v>209</v>
      </c>
      <c r="E86" s="12"/>
      <c r="F86" s="12"/>
      <c r="G86" s="13"/>
      <c r="H86" s="12" t="s">
        <v>210</v>
      </c>
      <c r="I86" s="13" t="s">
        <v>33</v>
      </c>
      <c r="J86" s="17">
        <v>4</v>
      </c>
      <c r="K86" s="11"/>
    </row>
    <row r="87" spans="1:17" s="2" customFormat="1" ht="36.6" customHeight="1">
      <c r="A87" s="11"/>
      <c r="B87" s="66"/>
      <c r="C87" s="57"/>
      <c r="D87" s="12" t="s">
        <v>229</v>
      </c>
      <c r="E87" s="12"/>
      <c r="F87" s="12"/>
      <c r="G87" s="13"/>
      <c r="H87" s="12" t="s">
        <v>230</v>
      </c>
      <c r="I87" s="13" t="s">
        <v>33</v>
      </c>
      <c r="J87" s="17">
        <v>4</v>
      </c>
      <c r="K87" s="11"/>
    </row>
    <row r="88" spans="1:17" s="2" customFormat="1" ht="36.6" customHeight="1">
      <c r="A88" s="11"/>
      <c r="B88" s="67"/>
      <c r="C88" s="58"/>
      <c r="D88" s="12" t="s">
        <v>237</v>
      </c>
      <c r="E88" s="12"/>
      <c r="F88" s="12"/>
      <c r="G88" s="12"/>
      <c r="H88" s="12" t="s">
        <v>232</v>
      </c>
      <c r="I88" s="13" t="s">
        <v>33</v>
      </c>
      <c r="J88" s="17">
        <v>4</v>
      </c>
      <c r="K88" s="11"/>
    </row>
    <row r="89" spans="1:17" s="2" customFormat="1" ht="36.6" customHeight="1">
      <c r="A89" s="39" t="s">
        <v>133</v>
      </c>
      <c r="B89" s="39"/>
      <c r="C89" s="39"/>
      <c r="D89" s="12"/>
      <c r="E89" s="12"/>
      <c r="F89" s="12"/>
      <c r="G89" s="12"/>
      <c r="H89" s="12"/>
      <c r="I89" s="13"/>
      <c r="J89" s="17"/>
      <c r="K89" s="11"/>
    </row>
    <row r="90" spans="1:17" s="2" customFormat="1" ht="36.6" customHeight="1">
      <c r="A90" s="41" t="s">
        <v>147</v>
      </c>
      <c r="B90" s="42"/>
      <c r="C90" s="10"/>
      <c r="D90" s="11"/>
      <c r="E90" s="11"/>
      <c r="F90" s="11"/>
      <c r="G90" s="11"/>
      <c r="H90" s="11"/>
      <c r="I90" s="11"/>
      <c r="J90" s="16"/>
      <c r="K90" s="11"/>
    </row>
    <row r="91" spans="1:17" s="2" customFormat="1" ht="36.6" customHeight="1">
      <c r="A91" s="11"/>
      <c r="B91" s="47">
        <v>9.9999999999999995E-8</v>
      </c>
      <c r="C91" s="56" t="s">
        <v>15</v>
      </c>
      <c r="D91" s="12" t="s">
        <v>209</v>
      </c>
      <c r="E91" s="12"/>
      <c r="F91" s="12"/>
      <c r="G91" s="13"/>
      <c r="H91" s="12" t="s">
        <v>210</v>
      </c>
      <c r="I91" s="13" t="s">
        <v>33</v>
      </c>
      <c r="J91" s="17">
        <v>4</v>
      </c>
      <c r="K91" s="11"/>
    </row>
    <row r="92" spans="1:17" s="2" customFormat="1" ht="36.6" customHeight="1">
      <c r="A92" s="11"/>
      <c r="B92" s="48"/>
      <c r="C92" s="57"/>
      <c r="D92" s="12" t="s">
        <v>226</v>
      </c>
      <c r="E92" s="12"/>
      <c r="F92" s="12"/>
      <c r="G92" s="13"/>
      <c r="H92" s="12" t="s">
        <v>227</v>
      </c>
      <c r="I92" s="13" t="s">
        <v>33</v>
      </c>
      <c r="J92" s="17">
        <v>2</v>
      </c>
      <c r="K92" s="11"/>
    </row>
    <row r="93" spans="1:17" s="2" customFormat="1" ht="36.6" customHeight="1">
      <c r="A93" s="11"/>
      <c r="B93" s="48"/>
      <c r="C93" s="57"/>
      <c r="D93" s="12" t="s">
        <v>211</v>
      </c>
      <c r="E93" s="12"/>
      <c r="F93" s="12"/>
      <c r="G93" s="13"/>
      <c r="H93" s="12" t="s">
        <v>212</v>
      </c>
      <c r="I93" s="13" t="s">
        <v>24</v>
      </c>
      <c r="J93" s="17">
        <v>3.9</v>
      </c>
      <c r="K93" s="11"/>
    </row>
    <row r="94" spans="1:17" s="2" customFormat="1" ht="36.6" customHeight="1">
      <c r="A94" s="11"/>
      <c r="B94" s="48"/>
      <c r="C94" s="57"/>
      <c r="D94" s="12" t="s">
        <v>213</v>
      </c>
      <c r="E94" s="12"/>
      <c r="F94" s="12"/>
      <c r="G94" s="13"/>
      <c r="H94" s="12" t="s">
        <v>214</v>
      </c>
      <c r="I94" s="13" t="s">
        <v>215</v>
      </c>
      <c r="J94" s="17">
        <v>1</v>
      </c>
      <c r="K94" s="11"/>
    </row>
    <row r="95" spans="1:17" s="2" customFormat="1" ht="36.6" customHeight="1">
      <c r="A95" s="11"/>
      <c r="B95" s="48"/>
      <c r="C95" s="57"/>
      <c r="D95" s="12" t="s">
        <v>216</v>
      </c>
      <c r="E95" s="12"/>
      <c r="F95" s="12"/>
      <c r="G95" s="13"/>
      <c r="H95" s="12" t="s">
        <v>212</v>
      </c>
      <c r="I95" s="13" t="s">
        <v>215</v>
      </c>
      <c r="J95" s="17">
        <v>1</v>
      </c>
      <c r="K95" s="11"/>
      <c r="Q95"/>
    </row>
    <row r="96" spans="1:17" s="2" customFormat="1" ht="36.6" customHeight="1">
      <c r="A96" s="11"/>
      <c r="B96" s="48"/>
      <c r="C96" s="57"/>
      <c r="D96" s="12" t="s">
        <v>217</v>
      </c>
      <c r="E96" s="12"/>
      <c r="F96" s="12"/>
      <c r="G96" s="12"/>
      <c r="H96" s="12" t="s">
        <v>212</v>
      </c>
      <c r="I96" s="13" t="s">
        <v>33</v>
      </c>
      <c r="J96" s="17">
        <v>1</v>
      </c>
      <c r="K96" s="11"/>
    </row>
    <row r="97" spans="1:11" s="2" customFormat="1" ht="36.6" customHeight="1">
      <c r="A97" s="11"/>
      <c r="B97" s="48"/>
      <c r="C97" s="57"/>
      <c r="D97" s="12" t="s">
        <v>240</v>
      </c>
      <c r="E97" s="12"/>
      <c r="F97" s="12"/>
      <c r="G97" s="13"/>
      <c r="H97" s="12" t="s">
        <v>222</v>
      </c>
      <c r="I97" s="13" t="s">
        <v>223</v>
      </c>
      <c r="J97" s="17">
        <v>4</v>
      </c>
      <c r="K97" s="11"/>
    </row>
    <row r="98" spans="1:11" s="2" customFormat="1" ht="36.6" customHeight="1">
      <c r="A98" s="11"/>
      <c r="B98" s="49"/>
      <c r="C98" s="58"/>
      <c r="D98" s="12" t="s">
        <v>224</v>
      </c>
      <c r="E98" s="12"/>
      <c r="F98" s="12"/>
      <c r="G98" s="13"/>
      <c r="H98" s="12" t="s">
        <v>225</v>
      </c>
      <c r="I98" s="13" t="s">
        <v>24</v>
      </c>
      <c r="J98" s="17">
        <v>4.5999999999999996</v>
      </c>
      <c r="K98" s="11"/>
    </row>
    <row r="99" spans="1:11" s="2" customFormat="1" ht="36.6" customHeight="1">
      <c r="A99" s="41" t="s">
        <v>161</v>
      </c>
      <c r="B99" s="42"/>
      <c r="C99" s="10"/>
      <c r="D99" s="11"/>
      <c r="E99" s="11"/>
      <c r="F99" s="11"/>
      <c r="G99" s="11"/>
      <c r="H99" s="11"/>
      <c r="I99" s="11"/>
      <c r="J99" s="16"/>
      <c r="K99" s="11"/>
    </row>
    <row r="100" spans="1:11" s="2" customFormat="1" ht="36.6" customHeight="1">
      <c r="A100" s="11"/>
      <c r="B100" s="47">
        <v>9.9999999999999998E-13</v>
      </c>
      <c r="C100" s="56" t="s">
        <v>54</v>
      </c>
      <c r="D100" s="12" t="s">
        <v>209</v>
      </c>
      <c r="E100" s="12"/>
      <c r="F100" s="12"/>
      <c r="G100" s="13"/>
      <c r="H100" s="12" t="s">
        <v>210</v>
      </c>
      <c r="I100" s="13" t="s">
        <v>33</v>
      </c>
      <c r="J100" s="17">
        <v>25</v>
      </c>
      <c r="K100" s="11"/>
    </row>
    <row r="101" spans="1:11" s="2" customFormat="1" ht="36.6" customHeight="1">
      <c r="A101" s="11"/>
      <c r="B101" s="48"/>
      <c r="C101" s="57"/>
      <c r="D101" s="11" t="s">
        <v>241</v>
      </c>
      <c r="E101" s="11"/>
      <c r="F101" s="11"/>
      <c r="G101" s="11"/>
      <c r="H101" s="11"/>
      <c r="I101" s="11" t="s">
        <v>24</v>
      </c>
      <c r="J101" s="16">
        <f>2.35*5</f>
        <v>11.75</v>
      </c>
      <c r="K101" s="11"/>
    </row>
    <row r="102" spans="1:11" s="2" customFormat="1" ht="36.6" customHeight="1">
      <c r="A102" s="11"/>
      <c r="B102" s="48"/>
      <c r="C102" s="57"/>
      <c r="D102" s="12" t="s">
        <v>242</v>
      </c>
      <c r="E102" s="12"/>
      <c r="F102" s="12"/>
      <c r="G102" s="13"/>
      <c r="H102" s="12" t="s">
        <v>243</v>
      </c>
      <c r="I102" s="13" t="s">
        <v>223</v>
      </c>
      <c r="J102" s="17">
        <v>2</v>
      </c>
      <c r="K102" s="11"/>
    </row>
    <row r="103" spans="1:11" s="2" customFormat="1" ht="36.6" customHeight="1">
      <c r="A103" s="11"/>
      <c r="B103" s="48"/>
      <c r="C103" s="57"/>
      <c r="D103" s="12" t="s">
        <v>244</v>
      </c>
      <c r="E103" s="12"/>
      <c r="F103" s="12"/>
      <c r="G103" s="13"/>
      <c r="H103" s="12" t="s">
        <v>245</v>
      </c>
      <c r="I103" s="13" t="s">
        <v>24</v>
      </c>
      <c r="J103" s="17">
        <v>2.2999999999999998</v>
      </c>
      <c r="K103" s="11"/>
    </row>
    <row r="104" spans="1:11" s="2" customFormat="1" ht="36.6" customHeight="1">
      <c r="A104" s="11"/>
      <c r="B104" s="49"/>
      <c r="C104" s="58"/>
      <c r="D104" s="12" t="s">
        <v>246</v>
      </c>
      <c r="E104" s="12"/>
      <c r="F104" s="12"/>
      <c r="G104" s="13"/>
      <c r="H104" s="12" t="s">
        <v>236</v>
      </c>
      <c r="I104" s="13" t="s">
        <v>33</v>
      </c>
      <c r="J104" s="17">
        <v>4</v>
      </c>
      <c r="K104" s="11"/>
    </row>
    <row r="105" spans="1:11" s="2" customFormat="1" ht="36.6" customHeight="1">
      <c r="A105" s="41" t="s">
        <v>170</v>
      </c>
      <c r="B105" s="42"/>
      <c r="C105" s="10"/>
      <c r="D105" s="11"/>
      <c r="E105" s="11"/>
      <c r="F105" s="11"/>
      <c r="G105" s="11"/>
      <c r="H105" s="11"/>
      <c r="I105" s="11"/>
      <c r="J105" s="16"/>
      <c r="K105" s="11"/>
    </row>
    <row r="106" spans="1:11" s="2" customFormat="1" ht="36.6" customHeight="1">
      <c r="A106" s="21"/>
      <c r="B106" s="53">
        <v>1.0000000000000001E-15</v>
      </c>
      <c r="C106" s="56" t="s">
        <v>47</v>
      </c>
      <c r="D106" s="12" t="s">
        <v>209</v>
      </c>
      <c r="E106" s="12"/>
      <c r="F106" s="12"/>
      <c r="G106" s="13"/>
      <c r="H106" s="12" t="s">
        <v>210</v>
      </c>
      <c r="I106" s="13" t="s">
        <v>33</v>
      </c>
      <c r="J106" s="17">
        <v>8</v>
      </c>
      <c r="K106" s="11"/>
    </row>
    <row r="107" spans="1:11" s="2" customFormat="1" ht="36.6" customHeight="1">
      <c r="A107" s="21"/>
      <c r="B107" s="53"/>
      <c r="C107" s="58"/>
      <c r="D107" s="12" t="s">
        <v>231</v>
      </c>
      <c r="E107" s="12"/>
      <c r="F107" s="12"/>
      <c r="G107" s="12"/>
      <c r="H107" s="12" t="s">
        <v>247</v>
      </c>
      <c r="I107" s="13" t="s">
        <v>33</v>
      </c>
      <c r="J107" s="17">
        <v>6</v>
      </c>
      <c r="K107" s="11"/>
    </row>
    <row r="108" spans="1:11" s="2" customFormat="1" ht="36.6" customHeight="1">
      <c r="A108" s="41" t="s">
        <v>175</v>
      </c>
      <c r="B108" s="42"/>
      <c r="C108" s="10"/>
      <c r="D108" s="11"/>
      <c r="E108" s="11"/>
      <c r="F108" s="11"/>
      <c r="G108" s="11"/>
      <c r="H108" s="11"/>
      <c r="I108" s="11"/>
      <c r="J108" s="16"/>
      <c r="K108" s="11"/>
    </row>
    <row r="109" spans="1:11" s="2" customFormat="1" ht="36.6" customHeight="1">
      <c r="A109" s="11"/>
      <c r="B109" s="47">
        <v>9.9999999999999998E-17</v>
      </c>
      <c r="C109" s="56" t="s">
        <v>15</v>
      </c>
      <c r="D109" s="12" t="s">
        <v>209</v>
      </c>
      <c r="E109" s="12"/>
      <c r="F109" s="12"/>
      <c r="G109" s="13"/>
      <c r="H109" s="12" t="s">
        <v>210</v>
      </c>
      <c r="I109" s="13" t="s">
        <v>33</v>
      </c>
      <c r="J109" s="17">
        <v>30</v>
      </c>
      <c r="K109" s="11"/>
    </row>
    <row r="110" spans="1:11" s="2" customFormat="1" ht="36.6" customHeight="1">
      <c r="A110" s="11"/>
      <c r="B110" s="48"/>
      <c r="C110" s="57"/>
      <c r="D110" s="12" t="s">
        <v>242</v>
      </c>
      <c r="E110" s="12"/>
      <c r="F110" s="12"/>
      <c r="G110" s="13"/>
      <c r="H110" s="12" t="s">
        <v>243</v>
      </c>
      <c r="I110" s="13" t="s">
        <v>223</v>
      </c>
      <c r="J110" s="17">
        <v>6</v>
      </c>
      <c r="K110" s="11"/>
    </row>
    <row r="111" spans="1:11" s="2" customFormat="1" ht="36.6" customHeight="1">
      <c r="A111" s="11"/>
      <c r="B111" s="48"/>
      <c r="C111" s="57"/>
      <c r="D111" s="12" t="s">
        <v>244</v>
      </c>
      <c r="E111" s="12"/>
      <c r="F111" s="12"/>
      <c r="G111" s="13"/>
      <c r="H111" s="12" t="s">
        <v>245</v>
      </c>
      <c r="I111" s="13" t="s">
        <v>24</v>
      </c>
      <c r="J111" s="17">
        <v>5</v>
      </c>
      <c r="K111" s="11"/>
    </row>
    <row r="112" spans="1:11" s="2" customFormat="1" ht="36.6" customHeight="1">
      <c r="A112" s="11"/>
      <c r="B112" s="48"/>
      <c r="C112" s="57"/>
      <c r="D112" s="12" t="s">
        <v>246</v>
      </c>
      <c r="E112" s="12"/>
      <c r="F112" s="12"/>
      <c r="G112" s="13"/>
      <c r="H112" s="12" t="s">
        <v>236</v>
      </c>
      <c r="I112" s="13" t="s">
        <v>33</v>
      </c>
      <c r="J112" s="17">
        <v>10</v>
      </c>
      <c r="K112" s="11"/>
    </row>
    <row r="113" spans="1:11" s="2" customFormat="1" ht="36.6" customHeight="1">
      <c r="A113" s="11"/>
      <c r="B113" s="48"/>
      <c r="C113" s="58"/>
      <c r="D113" s="11" t="s">
        <v>241</v>
      </c>
      <c r="E113" s="11"/>
      <c r="F113" s="11"/>
      <c r="G113" s="11"/>
      <c r="H113" s="11"/>
      <c r="I113" s="11" t="s">
        <v>24</v>
      </c>
      <c r="J113" s="16">
        <v>18</v>
      </c>
      <c r="K113" s="11"/>
    </row>
    <row r="114" spans="1:11" s="2" customFormat="1" ht="36.6" customHeight="1">
      <c r="A114" s="11"/>
      <c r="B114" s="48"/>
      <c r="C114" s="54" t="s">
        <v>54</v>
      </c>
      <c r="D114" s="12" t="s">
        <v>209</v>
      </c>
      <c r="E114" s="12"/>
      <c r="F114" s="12"/>
      <c r="G114" s="13"/>
      <c r="H114" s="12" t="s">
        <v>210</v>
      </c>
      <c r="I114" s="13" t="s">
        <v>33</v>
      </c>
      <c r="J114" s="17">
        <v>20</v>
      </c>
      <c r="K114" s="11"/>
    </row>
    <row r="115" spans="1:11" s="2" customFormat="1" ht="36.6" customHeight="1">
      <c r="A115" s="11"/>
      <c r="B115" s="48"/>
      <c r="C115" s="55"/>
      <c r="D115" s="12" t="s">
        <v>242</v>
      </c>
      <c r="E115" s="12"/>
      <c r="F115" s="12"/>
      <c r="G115" s="13"/>
      <c r="H115" s="12" t="s">
        <v>243</v>
      </c>
      <c r="I115" s="13" t="s">
        <v>223</v>
      </c>
      <c r="J115" s="17">
        <v>6</v>
      </c>
      <c r="K115" s="11"/>
    </row>
    <row r="116" spans="1:11" s="2" customFormat="1" ht="36.6" customHeight="1">
      <c r="A116" s="11"/>
      <c r="B116" s="48"/>
      <c r="C116" s="55"/>
      <c r="D116" s="12" t="s">
        <v>244</v>
      </c>
      <c r="E116" s="12"/>
      <c r="F116" s="12"/>
      <c r="G116" s="13"/>
      <c r="H116" s="12" t="s">
        <v>245</v>
      </c>
      <c r="I116" s="13" t="s">
        <v>24</v>
      </c>
      <c r="J116" s="17">
        <v>1</v>
      </c>
      <c r="K116" s="11"/>
    </row>
    <row r="117" spans="1:11" s="2" customFormat="1" ht="36.6" customHeight="1">
      <c r="A117" s="11"/>
      <c r="B117" s="48"/>
      <c r="C117" s="55"/>
      <c r="D117" s="12" t="s">
        <v>246</v>
      </c>
      <c r="E117" s="12"/>
      <c r="F117" s="12"/>
      <c r="G117" s="13"/>
      <c r="H117" s="12" t="s">
        <v>236</v>
      </c>
      <c r="I117" s="13" t="s">
        <v>33</v>
      </c>
      <c r="J117" s="17">
        <v>2</v>
      </c>
      <c r="K117" s="11"/>
    </row>
    <row r="118" spans="1:11" s="2" customFormat="1" ht="36.6" customHeight="1">
      <c r="A118" s="11"/>
      <c r="B118" s="48"/>
      <c r="C118" s="55"/>
      <c r="D118" s="11" t="s">
        <v>241</v>
      </c>
      <c r="E118" s="11"/>
      <c r="F118" s="11"/>
      <c r="G118" s="11"/>
      <c r="H118" s="11"/>
      <c r="I118" s="11" t="s">
        <v>24</v>
      </c>
      <c r="J118" s="16">
        <v>12</v>
      </c>
      <c r="K118" s="11"/>
    </row>
    <row r="119" spans="1:11" s="2" customFormat="1" ht="36.6" customHeight="1">
      <c r="A119" s="11"/>
      <c r="B119" s="48"/>
      <c r="C119" s="55"/>
      <c r="D119" s="12" t="s">
        <v>221</v>
      </c>
      <c r="E119" s="12"/>
      <c r="F119" s="12"/>
      <c r="G119" s="13"/>
      <c r="H119" s="12" t="s">
        <v>222</v>
      </c>
      <c r="I119" s="13" t="s">
        <v>223</v>
      </c>
      <c r="J119" s="17">
        <v>2</v>
      </c>
      <c r="K119" s="11"/>
    </row>
    <row r="120" spans="1:11" s="2" customFormat="1" ht="36.6" customHeight="1">
      <c r="A120" s="11"/>
      <c r="B120" s="49"/>
      <c r="C120" s="68"/>
      <c r="D120" s="12" t="s">
        <v>224</v>
      </c>
      <c r="E120" s="12"/>
      <c r="F120" s="12"/>
      <c r="G120" s="13"/>
      <c r="H120" s="12" t="s">
        <v>225</v>
      </c>
      <c r="I120" s="13" t="s">
        <v>24</v>
      </c>
      <c r="J120" s="17">
        <v>2</v>
      </c>
      <c r="K120" s="11"/>
    </row>
    <row r="121" spans="1:11" s="2" customFormat="1" ht="36.6" customHeight="1">
      <c r="A121" s="41" t="s">
        <v>177</v>
      </c>
      <c r="B121" s="42"/>
      <c r="C121" s="10"/>
      <c r="D121" s="11"/>
      <c r="E121" s="11"/>
      <c r="F121" s="11"/>
      <c r="G121" s="11"/>
      <c r="H121" s="11"/>
      <c r="I121" s="11"/>
      <c r="J121" s="16"/>
      <c r="K121" s="11"/>
    </row>
    <row r="122" spans="1:11" s="2" customFormat="1" ht="36.6" customHeight="1">
      <c r="A122" s="11"/>
      <c r="B122" s="47">
        <v>1.0000000000000001E-17</v>
      </c>
      <c r="C122" s="56" t="s">
        <v>47</v>
      </c>
      <c r="D122" s="12" t="s">
        <v>209</v>
      </c>
      <c r="E122" s="12"/>
      <c r="F122" s="12"/>
      <c r="G122" s="13"/>
      <c r="H122" s="12" t="s">
        <v>210</v>
      </c>
      <c r="I122" s="13" t="s">
        <v>33</v>
      </c>
      <c r="J122" s="17">
        <v>8</v>
      </c>
      <c r="K122" s="11"/>
    </row>
    <row r="123" spans="1:11" s="2" customFormat="1" ht="36.6" customHeight="1">
      <c r="A123" s="11"/>
      <c r="B123" s="49"/>
      <c r="C123" s="58"/>
      <c r="D123" s="12" t="s">
        <v>231</v>
      </c>
      <c r="E123" s="12"/>
      <c r="F123" s="12"/>
      <c r="G123" s="12"/>
      <c r="H123" s="12" t="s">
        <v>247</v>
      </c>
      <c r="I123" s="13" t="s">
        <v>33</v>
      </c>
      <c r="J123" s="17">
        <v>6</v>
      </c>
      <c r="K123" s="11"/>
    </row>
    <row r="124" spans="1:11" s="2" customFormat="1" ht="36.6" customHeight="1">
      <c r="A124" s="39" t="s">
        <v>186</v>
      </c>
      <c r="B124" s="39"/>
      <c r="C124" s="39"/>
      <c r="D124" s="12"/>
      <c r="E124" s="12"/>
      <c r="F124" s="12"/>
      <c r="G124" s="12"/>
      <c r="H124" s="12"/>
      <c r="I124" s="13"/>
      <c r="J124" s="17"/>
      <c r="K124" s="11"/>
    </row>
    <row r="125" spans="1:11" s="2" customFormat="1" ht="36.6" customHeight="1">
      <c r="A125" s="41" t="s">
        <v>193</v>
      </c>
      <c r="B125" s="42"/>
      <c r="C125" s="10"/>
      <c r="D125" s="11"/>
      <c r="E125" s="11"/>
      <c r="F125" s="11"/>
      <c r="G125" s="11"/>
      <c r="H125" s="11"/>
      <c r="I125" s="11"/>
      <c r="J125" s="16"/>
      <c r="K125" s="11"/>
    </row>
    <row r="126" spans="1:11" s="2" customFormat="1" ht="36.6" customHeight="1">
      <c r="A126" s="21"/>
      <c r="B126" s="53">
        <v>2E-3</v>
      </c>
      <c r="C126" s="56" t="s">
        <v>47</v>
      </c>
      <c r="D126" s="12" t="s">
        <v>209</v>
      </c>
      <c r="E126" s="12"/>
      <c r="F126" s="12"/>
      <c r="G126" s="13"/>
      <c r="H126" s="12" t="s">
        <v>210</v>
      </c>
      <c r="I126" s="13" t="s">
        <v>33</v>
      </c>
      <c r="J126" s="17">
        <v>8</v>
      </c>
      <c r="K126" s="11"/>
    </row>
    <row r="127" spans="1:11" s="2" customFormat="1" ht="36.6" customHeight="1">
      <c r="A127" s="21"/>
      <c r="B127" s="53"/>
      <c r="C127" s="57"/>
      <c r="D127" s="12" t="s">
        <v>231</v>
      </c>
      <c r="E127" s="12"/>
      <c r="F127" s="12"/>
      <c r="G127" s="12"/>
      <c r="H127" s="12" t="s">
        <v>247</v>
      </c>
      <c r="I127" s="13" t="s">
        <v>33</v>
      </c>
      <c r="J127" s="17">
        <v>6</v>
      </c>
      <c r="K127" s="11"/>
    </row>
    <row r="128" spans="1:11" s="2" customFormat="1" ht="36.6" customHeight="1">
      <c r="A128" s="21"/>
      <c r="B128" s="53"/>
      <c r="C128" s="58"/>
      <c r="D128" s="12" t="s">
        <v>229</v>
      </c>
      <c r="E128" s="12"/>
      <c r="F128" s="12"/>
      <c r="G128" s="13"/>
      <c r="H128" s="12" t="s">
        <v>230</v>
      </c>
      <c r="I128" s="13" t="s">
        <v>33</v>
      </c>
      <c r="J128" s="17">
        <v>4</v>
      </c>
      <c r="K128" s="11"/>
    </row>
    <row r="129" spans="1:11" s="2" customFormat="1" ht="36.6" customHeight="1">
      <c r="A129" s="21"/>
      <c r="B129" s="53"/>
      <c r="C129" s="15"/>
      <c r="D129" s="12" t="s">
        <v>211</v>
      </c>
      <c r="E129" s="12"/>
      <c r="F129" s="12"/>
      <c r="G129" s="13"/>
      <c r="H129" s="12" t="s">
        <v>212</v>
      </c>
      <c r="I129" s="13" t="s">
        <v>24</v>
      </c>
      <c r="J129" s="17">
        <v>1.97</v>
      </c>
      <c r="K129" s="11"/>
    </row>
    <row r="130" spans="1:11" s="2" customFormat="1" ht="36.6" customHeight="1">
      <c r="A130" s="21"/>
      <c r="B130" s="53"/>
      <c r="C130" s="15"/>
      <c r="D130" s="12" t="s">
        <v>213</v>
      </c>
      <c r="E130" s="12"/>
      <c r="F130" s="12"/>
      <c r="G130" s="13"/>
      <c r="H130" s="12" t="s">
        <v>214</v>
      </c>
      <c r="I130" s="13" t="s">
        <v>215</v>
      </c>
      <c r="J130" s="17">
        <v>1</v>
      </c>
      <c r="K130" s="11"/>
    </row>
    <row r="131" spans="1:11" s="2" customFormat="1" ht="36.6" customHeight="1">
      <c r="A131" s="21"/>
      <c r="B131" s="53"/>
      <c r="C131" s="15"/>
      <c r="D131" s="12" t="s">
        <v>216</v>
      </c>
      <c r="E131" s="12"/>
      <c r="F131" s="12"/>
      <c r="G131" s="13"/>
      <c r="H131" s="12" t="s">
        <v>212</v>
      </c>
      <c r="I131" s="13" t="s">
        <v>215</v>
      </c>
      <c r="J131" s="17">
        <v>1</v>
      </c>
      <c r="K131" s="11"/>
    </row>
    <row r="132" spans="1:11" s="2" customFormat="1" ht="36.6" customHeight="1">
      <c r="A132" s="21"/>
      <c r="B132" s="53"/>
      <c r="C132" s="15"/>
      <c r="D132" s="12" t="s">
        <v>217</v>
      </c>
      <c r="E132" s="12"/>
      <c r="F132" s="12"/>
      <c r="G132" s="12"/>
      <c r="H132" s="12" t="s">
        <v>212</v>
      </c>
      <c r="I132" s="13" t="s">
        <v>33</v>
      </c>
      <c r="J132" s="17">
        <v>1</v>
      </c>
      <c r="K132" s="11"/>
    </row>
    <row r="133" spans="1:11" s="2" customFormat="1" ht="36.6" customHeight="1">
      <c r="A133" s="43" t="s">
        <v>194</v>
      </c>
      <c r="B133" s="44"/>
      <c r="C133" s="11"/>
      <c r="D133" s="11"/>
      <c r="E133" s="11"/>
      <c r="F133" s="11"/>
      <c r="G133" s="11"/>
      <c r="H133" s="11"/>
      <c r="I133" s="11"/>
      <c r="J133" s="16"/>
      <c r="K133" s="11"/>
    </row>
    <row r="134" spans="1:11" s="2" customFormat="1" ht="36.6" customHeight="1">
      <c r="A134" s="11"/>
      <c r="B134" s="47">
        <v>2.0000000000000001E-4</v>
      </c>
      <c r="C134" s="54" t="s">
        <v>47</v>
      </c>
      <c r="D134" s="12" t="s">
        <v>209</v>
      </c>
      <c r="E134" s="12"/>
      <c r="F134" s="12"/>
      <c r="G134" s="13"/>
      <c r="H134" s="12" t="s">
        <v>210</v>
      </c>
      <c r="I134" s="13" t="s">
        <v>33</v>
      </c>
      <c r="J134" s="17">
        <v>20</v>
      </c>
      <c r="K134" s="11"/>
    </row>
    <row r="135" spans="1:11" s="2" customFormat="1" ht="36.6" customHeight="1">
      <c r="A135" s="11"/>
      <c r="B135" s="48"/>
      <c r="C135" s="55"/>
      <c r="D135" s="12" t="s">
        <v>242</v>
      </c>
      <c r="E135" s="12"/>
      <c r="F135" s="12"/>
      <c r="G135" s="13"/>
      <c r="H135" s="12" t="s">
        <v>243</v>
      </c>
      <c r="I135" s="13" t="s">
        <v>223</v>
      </c>
      <c r="J135" s="17">
        <v>3</v>
      </c>
      <c r="K135" s="11"/>
    </row>
    <row r="136" spans="1:11" s="2" customFormat="1" ht="36.6" customHeight="1">
      <c r="A136" s="11"/>
      <c r="B136" s="48"/>
      <c r="C136" s="55"/>
      <c r="D136" s="12" t="s">
        <v>244</v>
      </c>
      <c r="E136" s="12"/>
      <c r="F136" s="12"/>
      <c r="G136" s="13"/>
      <c r="H136" s="12" t="s">
        <v>245</v>
      </c>
      <c r="I136" s="13" t="s">
        <v>24</v>
      </c>
      <c r="J136" s="17">
        <v>2.5</v>
      </c>
      <c r="K136" s="11"/>
    </row>
    <row r="137" spans="1:11" s="2" customFormat="1" ht="36.6" customHeight="1">
      <c r="A137" s="11"/>
      <c r="B137" s="48"/>
      <c r="C137" s="55"/>
      <c r="D137" s="12" t="s">
        <v>246</v>
      </c>
      <c r="E137" s="12"/>
      <c r="F137" s="12"/>
      <c r="G137" s="13"/>
      <c r="H137" s="12" t="s">
        <v>236</v>
      </c>
      <c r="I137" s="13" t="s">
        <v>33</v>
      </c>
      <c r="J137" s="17">
        <v>6</v>
      </c>
      <c r="K137" s="11"/>
    </row>
    <row r="138" spans="1:11" s="2" customFormat="1" ht="36.6" customHeight="1">
      <c r="A138" s="11"/>
      <c r="B138" s="49"/>
      <c r="C138" s="68"/>
      <c r="D138" s="11" t="s">
        <v>248</v>
      </c>
      <c r="E138" s="11"/>
      <c r="F138" s="11"/>
      <c r="G138" s="11"/>
      <c r="H138" s="11"/>
      <c r="I138" s="11" t="s">
        <v>24</v>
      </c>
      <c r="J138" s="16">
        <v>11.4</v>
      </c>
      <c r="K138" s="11"/>
    </row>
    <row r="139" spans="1:11" s="2" customFormat="1" ht="36.6" customHeight="1">
      <c r="A139" s="41" t="s">
        <v>196</v>
      </c>
      <c r="B139" s="42"/>
      <c r="C139" s="11"/>
      <c r="D139" s="11"/>
      <c r="E139" s="11"/>
      <c r="F139" s="11"/>
      <c r="G139" s="11"/>
      <c r="H139" s="11"/>
      <c r="I139" s="11"/>
      <c r="J139" s="16"/>
      <c r="K139" s="11"/>
    </row>
    <row r="140" spans="1:11" s="2" customFormat="1" ht="36.6" customHeight="1">
      <c r="A140" s="11"/>
      <c r="B140" s="47">
        <v>2.0000000000000002E-5</v>
      </c>
      <c r="C140" s="54" t="s">
        <v>54</v>
      </c>
      <c r="D140" s="12" t="s">
        <v>209</v>
      </c>
      <c r="E140" s="12"/>
      <c r="F140" s="12"/>
      <c r="G140" s="13"/>
      <c r="H140" s="12" t="s">
        <v>210</v>
      </c>
      <c r="I140" s="13" t="s">
        <v>33</v>
      </c>
      <c r="J140" s="17">
        <v>20</v>
      </c>
      <c r="K140" s="11"/>
    </row>
    <row r="141" spans="1:11" s="2" customFormat="1" ht="36.6" customHeight="1">
      <c r="A141" s="11"/>
      <c r="B141" s="48"/>
      <c r="C141" s="55"/>
      <c r="D141" s="12" t="s">
        <v>244</v>
      </c>
      <c r="E141" s="12"/>
      <c r="F141" s="12"/>
      <c r="G141" s="13"/>
      <c r="H141" s="12" t="s">
        <v>245</v>
      </c>
      <c r="I141" s="13" t="s">
        <v>24</v>
      </c>
      <c r="J141" s="17">
        <v>3.6</v>
      </c>
      <c r="K141" s="11"/>
    </row>
    <row r="142" spans="1:11" s="2" customFormat="1" ht="36.6" customHeight="1">
      <c r="A142" s="11"/>
      <c r="B142" s="48"/>
      <c r="C142" s="55"/>
      <c r="D142" s="12" t="s">
        <v>246</v>
      </c>
      <c r="E142" s="12"/>
      <c r="F142" s="12"/>
      <c r="G142" s="13"/>
      <c r="H142" s="12" t="s">
        <v>236</v>
      </c>
      <c r="I142" s="13" t="s">
        <v>33</v>
      </c>
      <c r="J142" s="17">
        <v>6</v>
      </c>
      <c r="K142" s="11"/>
    </row>
    <row r="143" spans="1:11" s="2" customFormat="1" ht="36.6" customHeight="1">
      <c r="A143" s="41" t="s">
        <v>197</v>
      </c>
      <c r="B143" s="42"/>
      <c r="C143" s="10"/>
      <c r="D143" s="11"/>
      <c r="E143" s="11"/>
      <c r="F143" s="11"/>
      <c r="G143" s="11"/>
      <c r="H143" s="11"/>
      <c r="I143" s="11"/>
      <c r="J143" s="16"/>
      <c r="K143" s="11"/>
    </row>
    <row r="144" spans="1:11" s="2" customFormat="1" ht="36.6" customHeight="1">
      <c r="A144" s="11"/>
      <c r="B144" s="47">
        <v>1.9999999999999999E-6</v>
      </c>
      <c r="C144" s="56" t="s">
        <v>15</v>
      </c>
      <c r="D144" s="12" t="s">
        <v>209</v>
      </c>
      <c r="E144" s="12"/>
      <c r="F144" s="12"/>
      <c r="G144" s="13"/>
      <c r="H144" s="12" t="s">
        <v>210</v>
      </c>
      <c r="I144" s="13" t="s">
        <v>33</v>
      </c>
      <c r="J144" s="17">
        <v>10</v>
      </c>
      <c r="K144" s="11"/>
    </row>
    <row r="145" spans="1:11" s="2" customFormat="1" ht="36.6" customHeight="1">
      <c r="A145" s="11"/>
      <c r="B145" s="48"/>
      <c r="C145" s="57"/>
      <c r="D145" s="12" t="s">
        <v>244</v>
      </c>
      <c r="E145" s="12"/>
      <c r="F145" s="12"/>
      <c r="G145" s="13"/>
      <c r="H145" s="12" t="s">
        <v>245</v>
      </c>
      <c r="I145" s="13" t="s">
        <v>24</v>
      </c>
      <c r="J145" s="17">
        <v>3.6</v>
      </c>
      <c r="K145" s="11"/>
    </row>
    <row r="146" spans="1:11" s="2" customFormat="1" ht="36.6" customHeight="1">
      <c r="A146" s="11"/>
      <c r="B146" s="48"/>
      <c r="C146" s="57"/>
      <c r="D146" s="12" t="s">
        <v>246</v>
      </c>
      <c r="E146" s="12"/>
      <c r="F146" s="12"/>
      <c r="G146" s="13"/>
      <c r="H146" s="12" t="s">
        <v>236</v>
      </c>
      <c r="I146" s="13" t="s">
        <v>33</v>
      </c>
      <c r="J146" s="17">
        <v>8</v>
      </c>
      <c r="K146" s="11"/>
    </row>
    <row r="147" spans="1:11" s="2" customFormat="1" ht="36.6" customHeight="1">
      <c r="A147" s="11"/>
      <c r="B147" s="48"/>
      <c r="C147" s="57"/>
      <c r="D147" s="12" t="s">
        <v>242</v>
      </c>
      <c r="E147" s="12"/>
      <c r="F147" s="12"/>
      <c r="G147" s="13"/>
      <c r="H147" s="12" t="s">
        <v>243</v>
      </c>
      <c r="I147" s="13" t="s">
        <v>223</v>
      </c>
      <c r="J147" s="17">
        <v>3</v>
      </c>
      <c r="K147" s="11"/>
    </row>
    <row r="148" spans="1:11" s="2" customFormat="1" ht="36.6" customHeight="1">
      <c r="A148" s="11"/>
      <c r="B148" s="48"/>
      <c r="C148" s="57"/>
      <c r="D148" s="12" t="s">
        <v>226</v>
      </c>
      <c r="E148" s="12"/>
      <c r="F148" s="12"/>
      <c r="G148" s="13"/>
      <c r="H148" s="12" t="s">
        <v>227</v>
      </c>
      <c r="I148" s="13" t="s">
        <v>33</v>
      </c>
      <c r="J148" s="17">
        <v>2</v>
      </c>
      <c r="K148" s="11"/>
    </row>
    <row r="149" spans="1:11" s="2" customFormat="1" ht="36.6" customHeight="1">
      <c r="A149" s="11"/>
      <c r="B149" s="48"/>
      <c r="C149" s="57"/>
      <c r="D149" s="12" t="s">
        <v>211</v>
      </c>
      <c r="E149" s="12"/>
      <c r="F149" s="12"/>
      <c r="G149" s="13"/>
      <c r="H149" s="12" t="s">
        <v>212</v>
      </c>
      <c r="I149" s="13" t="s">
        <v>24</v>
      </c>
      <c r="J149" s="17">
        <v>4</v>
      </c>
      <c r="K149" s="11"/>
    </row>
    <row r="150" spans="1:11" s="2" customFormat="1" ht="36.6" customHeight="1">
      <c r="A150" s="11"/>
      <c r="B150" s="48"/>
      <c r="C150" s="57"/>
      <c r="D150" s="12" t="s">
        <v>213</v>
      </c>
      <c r="E150" s="12"/>
      <c r="F150" s="12"/>
      <c r="G150" s="13"/>
      <c r="H150" s="12" t="s">
        <v>214</v>
      </c>
      <c r="I150" s="13" t="s">
        <v>215</v>
      </c>
      <c r="J150" s="17">
        <v>1</v>
      </c>
      <c r="K150" s="11"/>
    </row>
    <row r="151" spans="1:11" s="2" customFormat="1" ht="36.6" customHeight="1">
      <c r="A151" s="11"/>
      <c r="B151" s="48"/>
      <c r="C151" s="57"/>
      <c r="D151" s="12" t="s">
        <v>216</v>
      </c>
      <c r="E151" s="12"/>
      <c r="F151" s="12"/>
      <c r="G151" s="13"/>
      <c r="H151" s="12" t="s">
        <v>212</v>
      </c>
      <c r="I151" s="13" t="s">
        <v>215</v>
      </c>
      <c r="J151" s="17">
        <v>1</v>
      </c>
      <c r="K151" s="11"/>
    </row>
    <row r="152" spans="1:11" s="2" customFormat="1" ht="36.6" customHeight="1">
      <c r="A152" s="11"/>
      <c r="B152" s="48"/>
      <c r="C152" s="58"/>
      <c r="D152" s="12" t="s">
        <v>217</v>
      </c>
      <c r="E152" s="12"/>
      <c r="F152" s="12"/>
      <c r="G152" s="12"/>
      <c r="H152" s="12" t="s">
        <v>212</v>
      </c>
      <c r="I152" s="13" t="s">
        <v>33</v>
      </c>
      <c r="J152" s="17">
        <v>1</v>
      </c>
      <c r="K152" s="11"/>
    </row>
    <row r="153" spans="1:11" s="2" customFormat="1" ht="36.6" customHeight="1">
      <c r="A153" s="11"/>
      <c r="B153" s="48"/>
      <c r="C153" s="54" t="s">
        <v>54</v>
      </c>
      <c r="D153" s="12" t="s">
        <v>209</v>
      </c>
      <c r="E153" s="12"/>
      <c r="F153" s="12"/>
      <c r="G153" s="13"/>
      <c r="H153" s="12" t="s">
        <v>210</v>
      </c>
      <c r="I153" s="13" t="s">
        <v>33</v>
      </c>
      <c r="J153" s="17">
        <v>9</v>
      </c>
      <c r="K153" s="11"/>
    </row>
    <row r="154" spans="1:11" s="2" customFormat="1" ht="36.6" customHeight="1">
      <c r="A154" s="11"/>
      <c r="B154" s="48"/>
      <c r="C154" s="55"/>
      <c r="D154" s="12" t="s">
        <v>242</v>
      </c>
      <c r="E154" s="12"/>
      <c r="F154" s="12"/>
      <c r="G154" s="13"/>
      <c r="H154" s="12" t="s">
        <v>243</v>
      </c>
      <c r="I154" s="13" t="s">
        <v>223</v>
      </c>
      <c r="J154" s="17">
        <v>1</v>
      </c>
      <c r="K154" s="11"/>
    </row>
    <row r="155" spans="1:11" s="2" customFormat="1" ht="36.6" customHeight="1">
      <c r="A155" s="11"/>
      <c r="B155" s="48"/>
      <c r="C155" s="55"/>
      <c r="D155" s="12" t="s">
        <v>226</v>
      </c>
      <c r="E155" s="12"/>
      <c r="F155" s="12"/>
      <c r="G155" s="13"/>
      <c r="H155" s="12" t="s">
        <v>227</v>
      </c>
      <c r="I155" s="13" t="s">
        <v>33</v>
      </c>
      <c r="J155" s="17">
        <v>3</v>
      </c>
      <c r="K155" s="11"/>
    </row>
    <row r="156" spans="1:11" s="2" customFormat="1" ht="36.6" customHeight="1">
      <c r="A156" s="11"/>
      <c r="B156" s="48"/>
      <c r="C156" s="55"/>
      <c r="D156" s="12" t="s">
        <v>219</v>
      </c>
      <c r="E156" s="12"/>
      <c r="F156" s="12"/>
      <c r="G156" s="13"/>
      <c r="H156" s="12" t="s">
        <v>212</v>
      </c>
      <c r="I156" s="13" t="s">
        <v>24</v>
      </c>
      <c r="J156" s="17">
        <v>2.5</v>
      </c>
      <c r="K156" s="11"/>
    </row>
    <row r="157" spans="1:11" s="2" customFormat="1" ht="36.6" customHeight="1">
      <c r="A157" s="11"/>
      <c r="B157" s="49"/>
      <c r="C157" s="68"/>
      <c r="D157" s="12" t="s">
        <v>217</v>
      </c>
      <c r="E157" s="12"/>
      <c r="F157" s="12"/>
      <c r="G157" s="12"/>
      <c r="H157" s="12" t="s">
        <v>212</v>
      </c>
      <c r="I157" s="13" t="s">
        <v>33</v>
      </c>
      <c r="J157" s="17">
        <v>1</v>
      </c>
      <c r="K157" s="11"/>
    </row>
    <row r="158" spans="1:11" s="2" customFormat="1" ht="36.6" customHeight="1">
      <c r="A158" s="41" t="s">
        <v>198</v>
      </c>
      <c r="B158" s="42"/>
      <c r="C158" s="11"/>
      <c r="D158" s="11"/>
      <c r="E158" s="11"/>
      <c r="F158" s="11"/>
      <c r="G158" s="11"/>
      <c r="H158" s="11"/>
      <c r="I158" s="11"/>
      <c r="J158" s="16"/>
      <c r="K158" s="11"/>
    </row>
    <row r="159" spans="1:11" s="2" customFormat="1" ht="36.6" customHeight="1">
      <c r="A159" s="11"/>
      <c r="B159" s="47">
        <v>1.9999999999999999E-7</v>
      </c>
      <c r="C159" s="56" t="s">
        <v>47</v>
      </c>
      <c r="D159" s="12" t="s">
        <v>209</v>
      </c>
      <c r="E159" s="12"/>
      <c r="F159" s="12"/>
      <c r="G159" s="13"/>
      <c r="H159" s="12" t="s">
        <v>210</v>
      </c>
      <c r="I159" s="13" t="s">
        <v>33</v>
      </c>
      <c r="J159" s="17">
        <v>4</v>
      </c>
      <c r="K159" s="11"/>
    </row>
    <row r="160" spans="1:11" s="2" customFormat="1" ht="36.6" customHeight="1">
      <c r="A160" s="11"/>
      <c r="B160" s="48"/>
      <c r="C160" s="57"/>
      <c r="D160" s="12" t="s">
        <v>229</v>
      </c>
      <c r="E160" s="12"/>
      <c r="F160" s="12"/>
      <c r="G160" s="13"/>
      <c r="H160" s="12" t="s">
        <v>230</v>
      </c>
      <c r="I160" s="13" t="s">
        <v>33</v>
      </c>
      <c r="J160" s="17">
        <v>4</v>
      </c>
      <c r="K160" s="11"/>
    </row>
    <row r="161" spans="1:12" s="2" customFormat="1" ht="36.6" customHeight="1">
      <c r="A161" s="11"/>
      <c r="B161" s="48"/>
      <c r="C161" s="57"/>
      <c r="D161" s="12" t="s">
        <v>226</v>
      </c>
      <c r="E161" s="12"/>
      <c r="F161" s="12"/>
      <c r="G161" s="13"/>
      <c r="H161" s="12" t="s">
        <v>227</v>
      </c>
      <c r="I161" s="13" t="s">
        <v>33</v>
      </c>
      <c r="J161" s="17">
        <v>2</v>
      </c>
      <c r="K161" s="11"/>
    </row>
    <row r="162" spans="1:12" s="2" customFormat="1" ht="36.6" customHeight="1">
      <c r="A162" s="11"/>
      <c r="B162" s="48"/>
      <c r="C162" s="57"/>
      <c r="D162" s="12" t="s">
        <v>211</v>
      </c>
      <c r="E162" s="12"/>
      <c r="F162" s="12"/>
      <c r="G162" s="13"/>
      <c r="H162" s="12" t="s">
        <v>212</v>
      </c>
      <c r="I162" s="13" t="s">
        <v>24</v>
      </c>
      <c r="J162" s="17">
        <v>1.02</v>
      </c>
      <c r="K162" s="11"/>
    </row>
    <row r="163" spans="1:12" s="2" customFormat="1" ht="36.6" customHeight="1">
      <c r="A163" s="11"/>
      <c r="B163" s="48"/>
      <c r="C163" s="57"/>
      <c r="D163" s="12" t="s">
        <v>213</v>
      </c>
      <c r="E163" s="12"/>
      <c r="F163" s="12"/>
      <c r="G163" s="13"/>
      <c r="H163" s="12" t="s">
        <v>214</v>
      </c>
      <c r="I163" s="13" t="s">
        <v>215</v>
      </c>
      <c r="J163" s="17">
        <v>1</v>
      </c>
      <c r="K163" s="11"/>
    </row>
    <row r="164" spans="1:12" s="2" customFormat="1" ht="36.6" customHeight="1">
      <c r="A164" s="11"/>
      <c r="B164" s="48"/>
      <c r="C164" s="57"/>
      <c r="D164" s="12" t="s">
        <v>216</v>
      </c>
      <c r="E164" s="12"/>
      <c r="F164" s="12"/>
      <c r="G164" s="13"/>
      <c r="H164" s="12" t="s">
        <v>212</v>
      </c>
      <c r="I164" s="13" t="s">
        <v>215</v>
      </c>
      <c r="J164" s="17">
        <v>1</v>
      </c>
      <c r="K164" s="11"/>
    </row>
    <row r="165" spans="1:12" s="2" customFormat="1" ht="36.6" customHeight="1">
      <c r="A165" s="11"/>
      <c r="B165" s="49"/>
      <c r="C165" s="58"/>
      <c r="D165" s="12" t="s">
        <v>217</v>
      </c>
      <c r="E165" s="12"/>
      <c r="F165" s="12"/>
      <c r="G165" s="12"/>
      <c r="H165" s="12" t="s">
        <v>212</v>
      </c>
      <c r="I165" s="13" t="s">
        <v>33</v>
      </c>
      <c r="J165" s="17">
        <v>1</v>
      </c>
      <c r="K165" s="11"/>
    </row>
    <row r="166" spans="1:12" s="2" customFormat="1" ht="36.6" customHeight="1">
      <c r="A166" s="41" t="s">
        <v>199</v>
      </c>
      <c r="B166" s="42"/>
      <c r="C166" s="10"/>
      <c r="D166" s="11"/>
      <c r="E166" s="11"/>
      <c r="F166" s="11"/>
      <c r="G166" s="11"/>
      <c r="H166" s="11"/>
      <c r="I166" s="11"/>
      <c r="J166" s="16"/>
      <c r="K166" s="11"/>
    </row>
    <row r="167" spans="1:12" s="2" customFormat="1" ht="36.6" customHeight="1">
      <c r="A167" s="11"/>
      <c r="B167" s="47">
        <v>2E-8</v>
      </c>
      <c r="C167" s="56" t="s">
        <v>47</v>
      </c>
      <c r="D167" s="12" t="s">
        <v>209</v>
      </c>
      <c r="E167" s="12"/>
      <c r="F167" s="12"/>
      <c r="G167" s="13"/>
      <c r="H167" s="12" t="s">
        <v>210</v>
      </c>
      <c r="I167" s="13" t="s">
        <v>33</v>
      </c>
      <c r="J167" s="17">
        <v>4</v>
      </c>
      <c r="K167" s="11"/>
    </row>
    <row r="168" spans="1:12" s="2" customFormat="1" ht="36.6" customHeight="1">
      <c r="A168" s="11"/>
      <c r="B168" s="48"/>
      <c r="C168" s="57"/>
      <c r="D168" s="12" t="s">
        <v>229</v>
      </c>
      <c r="E168" s="12"/>
      <c r="F168" s="12"/>
      <c r="G168" s="13"/>
      <c r="H168" s="12" t="s">
        <v>230</v>
      </c>
      <c r="I168" s="13" t="s">
        <v>33</v>
      </c>
      <c r="J168" s="17">
        <v>4</v>
      </c>
      <c r="K168" s="11"/>
    </row>
    <row r="169" spans="1:12" s="2" customFormat="1" ht="36.6" customHeight="1">
      <c r="A169" s="11"/>
      <c r="B169" s="48"/>
      <c r="C169" s="57"/>
      <c r="D169" s="12" t="s">
        <v>226</v>
      </c>
      <c r="E169" s="12"/>
      <c r="F169" s="12"/>
      <c r="G169" s="13"/>
      <c r="H169" s="12" t="s">
        <v>227</v>
      </c>
      <c r="I169" s="13" t="s">
        <v>33</v>
      </c>
      <c r="J169" s="17">
        <v>2</v>
      </c>
      <c r="K169" s="11"/>
    </row>
    <row r="170" spans="1:12" s="2" customFormat="1" ht="36.6" customHeight="1">
      <c r="A170" s="11"/>
      <c r="B170" s="48"/>
      <c r="C170" s="57"/>
      <c r="D170" s="12" t="s">
        <v>211</v>
      </c>
      <c r="E170" s="12"/>
      <c r="F170" s="12"/>
      <c r="G170" s="13"/>
      <c r="H170" s="12" t="s">
        <v>212</v>
      </c>
      <c r="I170" s="13" t="s">
        <v>24</v>
      </c>
      <c r="J170" s="17">
        <v>1.55</v>
      </c>
      <c r="K170" s="11"/>
    </row>
    <row r="171" spans="1:12" s="2" customFormat="1" ht="36.6" customHeight="1">
      <c r="A171" s="11"/>
      <c r="B171" s="48"/>
      <c r="C171" s="57"/>
      <c r="D171" s="12" t="s">
        <v>213</v>
      </c>
      <c r="E171" s="12"/>
      <c r="F171" s="12"/>
      <c r="G171" s="13"/>
      <c r="H171" s="12" t="s">
        <v>214</v>
      </c>
      <c r="I171" s="13" t="s">
        <v>215</v>
      </c>
      <c r="J171" s="17">
        <v>1</v>
      </c>
      <c r="K171" s="11"/>
    </row>
    <row r="172" spans="1:12" s="2" customFormat="1" ht="36.6" customHeight="1">
      <c r="A172" s="11"/>
      <c r="B172" s="48"/>
      <c r="C172" s="57"/>
      <c r="D172" s="12" t="s">
        <v>216</v>
      </c>
      <c r="E172" s="12"/>
      <c r="F172" s="12"/>
      <c r="G172" s="13"/>
      <c r="H172" s="12" t="s">
        <v>212</v>
      </c>
      <c r="I172" s="13" t="s">
        <v>215</v>
      </c>
      <c r="J172" s="17">
        <v>1</v>
      </c>
      <c r="K172" s="11"/>
    </row>
    <row r="173" spans="1:12" s="2" customFormat="1" ht="36.6" customHeight="1">
      <c r="A173" s="11"/>
      <c r="B173" s="48"/>
      <c r="C173" s="58"/>
      <c r="D173" s="12" t="s">
        <v>217</v>
      </c>
      <c r="E173" s="12"/>
      <c r="F173" s="12"/>
      <c r="G173" s="12"/>
      <c r="H173" s="12" t="s">
        <v>212</v>
      </c>
      <c r="I173" s="13" t="s">
        <v>33</v>
      </c>
      <c r="J173" s="17">
        <v>1</v>
      </c>
      <c r="K173" s="11"/>
      <c r="L173" s="24"/>
    </row>
    <row r="174" spans="1:12" s="2" customFormat="1" ht="36.6" customHeight="1">
      <c r="A174" s="11"/>
      <c r="B174" s="48"/>
      <c r="C174" s="54" t="s">
        <v>54</v>
      </c>
      <c r="D174" s="12" t="s">
        <v>221</v>
      </c>
      <c r="E174" s="12"/>
      <c r="F174" s="12"/>
      <c r="G174" s="13"/>
      <c r="H174" s="12" t="s">
        <v>222</v>
      </c>
      <c r="I174" s="13" t="s">
        <v>223</v>
      </c>
      <c r="J174" s="17">
        <v>1</v>
      </c>
      <c r="K174" s="11"/>
      <c r="L174" s="24"/>
    </row>
    <row r="175" spans="1:12" s="2" customFormat="1" ht="36.6" customHeight="1">
      <c r="A175" s="11"/>
      <c r="B175" s="49"/>
      <c r="C175" s="68"/>
      <c r="D175" s="12" t="s">
        <v>224</v>
      </c>
      <c r="E175" s="12"/>
      <c r="F175" s="12"/>
      <c r="G175" s="13"/>
      <c r="H175" s="12" t="s">
        <v>225</v>
      </c>
      <c r="I175" s="13" t="s">
        <v>24</v>
      </c>
      <c r="J175" s="17">
        <v>2</v>
      </c>
      <c r="K175" s="11"/>
      <c r="L175" s="24"/>
    </row>
    <row r="176" spans="1:12" s="2" customFormat="1" ht="36.6" customHeight="1">
      <c r="A176" s="41" t="s">
        <v>201</v>
      </c>
      <c r="B176" s="42"/>
      <c r="C176" s="10"/>
      <c r="D176" s="12"/>
      <c r="E176" s="12"/>
      <c r="F176" s="12"/>
      <c r="G176" s="12"/>
      <c r="H176" s="12"/>
      <c r="I176" s="13"/>
      <c r="J176" s="17"/>
      <c r="K176" s="11"/>
      <c r="L176" s="24"/>
    </row>
    <row r="177" spans="1:253" s="2" customFormat="1" ht="36.6" customHeight="1">
      <c r="A177" s="11"/>
      <c r="B177" s="53">
        <v>2.0000000000000001E-9</v>
      </c>
      <c r="C177" s="62" t="s">
        <v>54</v>
      </c>
      <c r="D177" s="12" t="s">
        <v>209</v>
      </c>
      <c r="E177" s="12"/>
      <c r="F177" s="12"/>
      <c r="G177" s="13"/>
      <c r="H177" s="12" t="s">
        <v>210</v>
      </c>
      <c r="I177" s="13" t="s">
        <v>33</v>
      </c>
      <c r="J177" s="17">
        <v>20</v>
      </c>
      <c r="K177" s="11"/>
      <c r="L177" s="24"/>
    </row>
    <row r="178" spans="1:253" s="2" customFormat="1" ht="36.6" customHeight="1">
      <c r="A178" s="11"/>
      <c r="B178" s="53"/>
      <c r="C178" s="62"/>
      <c r="D178" s="12" t="s">
        <v>226</v>
      </c>
      <c r="E178" s="12"/>
      <c r="F178" s="12"/>
      <c r="G178" s="13"/>
      <c r="H178" s="12" t="s">
        <v>227</v>
      </c>
      <c r="I178" s="13" t="s">
        <v>33</v>
      </c>
      <c r="J178" s="17">
        <v>4</v>
      </c>
      <c r="K178" s="11"/>
      <c r="L178" s="24"/>
    </row>
    <row r="179" spans="1:253" s="2" customFormat="1" ht="36.6" customHeight="1">
      <c r="A179" s="11"/>
      <c r="B179" s="53"/>
      <c r="C179" s="62"/>
      <c r="D179" s="12" t="s">
        <v>242</v>
      </c>
      <c r="E179" s="12"/>
      <c r="F179" s="12"/>
      <c r="G179" s="13"/>
      <c r="H179" s="12" t="s">
        <v>243</v>
      </c>
      <c r="I179" s="13" t="s">
        <v>223</v>
      </c>
      <c r="J179" s="17">
        <v>3</v>
      </c>
      <c r="K179" s="11"/>
      <c r="L179" s="24"/>
    </row>
    <row r="180" spans="1:253" ht="21" customHeight="1">
      <c r="A180" s="22" t="s">
        <v>205</v>
      </c>
      <c r="B180" s="23"/>
      <c r="C180" s="23"/>
      <c r="D180" s="23"/>
      <c r="E180" s="23"/>
      <c r="F180" s="23"/>
      <c r="G180" s="23"/>
      <c r="H180" s="23"/>
      <c r="I180" s="25"/>
      <c r="J180" s="26"/>
      <c r="K180" s="27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  <c r="IN180"/>
      <c r="IO180"/>
      <c r="IP180"/>
      <c r="IQ180"/>
      <c r="IR180"/>
    </row>
    <row r="181" spans="1:253" customFormat="1" ht="24" customHeight="1"/>
    <row r="182" spans="1:253" customFormat="1" ht="24" customHeight="1"/>
    <row r="183" spans="1:253" customFormat="1" ht="24" customHeight="1"/>
    <row r="184" spans="1:253" ht="24" customHeight="1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  <c r="IN184"/>
      <c r="IO184"/>
      <c r="IP184"/>
      <c r="IQ184"/>
      <c r="IR184"/>
      <c r="IS184"/>
    </row>
    <row r="185" spans="1:253" ht="24" customHeigh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  <c r="IO185"/>
      <c r="IP185"/>
      <c r="IQ185"/>
      <c r="IR185"/>
      <c r="IS185"/>
    </row>
    <row r="186" spans="1:253" ht="24" customHeigh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  <c r="IN186"/>
      <c r="IO186"/>
      <c r="IP186"/>
      <c r="IQ186"/>
      <c r="IR186"/>
      <c r="IS186"/>
    </row>
    <row r="187" spans="1:253" ht="24" customHeight="1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  <c r="IN187"/>
      <c r="IO187"/>
      <c r="IP187"/>
      <c r="IQ187"/>
      <c r="IR187"/>
      <c r="IS187"/>
    </row>
    <row r="188" spans="1:253" ht="24" customHeight="1"/>
    <row r="189" spans="1:253" ht="24" customHeight="1"/>
    <row r="190" spans="1:253" ht="24" customHeight="1"/>
    <row r="191" spans="1:253" ht="24" customHeight="1"/>
    <row r="192" spans="1:253" ht="24" customHeight="1"/>
    <row r="193" ht="24" customHeight="1"/>
    <row r="194" ht="24" customHeight="1"/>
    <row r="195" ht="24" customHeight="1"/>
    <row r="196" ht="24" customHeight="1"/>
    <row r="197" ht="24" customHeight="1"/>
    <row r="198" ht="24" customHeight="1"/>
    <row r="199" ht="24" customHeight="1"/>
    <row r="200" ht="24" customHeight="1"/>
    <row r="201" ht="24" customHeight="1"/>
    <row r="202" ht="24" customHeight="1"/>
    <row r="203" ht="24" customHeight="1"/>
    <row r="204" ht="24" customHeight="1"/>
    <row r="205" ht="36.75" customHeight="1"/>
    <row r="206" ht="36.75" customHeight="1"/>
    <row r="207" ht="36.75" customHeight="1"/>
    <row r="208" ht="36.75" customHeight="1"/>
    <row r="209" ht="36.75" customHeight="1"/>
    <row r="210" ht="36.75" customHeight="1"/>
    <row r="211" ht="36.75" customHeight="1"/>
    <row r="212" ht="36.75" customHeight="1"/>
    <row r="213" ht="36.75" customHeight="1"/>
    <row r="214" ht="36.75" customHeight="1"/>
    <row r="215" ht="36.75" customHeight="1"/>
    <row r="216" ht="36.75" customHeight="1"/>
    <row r="217" ht="36.75" customHeight="1"/>
    <row r="218" ht="36.75" customHeight="1"/>
    <row r="219" ht="36.75" customHeight="1"/>
    <row r="220" ht="36.75" customHeight="1"/>
    <row r="221" ht="36.75" customHeight="1"/>
    <row r="222" ht="36.75" customHeight="1"/>
    <row r="223" ht="36.75" customHeight="1"/>
    <row r="224" ht="36.75" customHeight="1"/>
    <row r="225" ht="36.75" customHeight="1"/>
    <row r="226" ht="36.75" customHeight="1"/>
    <row r="227" ht="36.75" customHeight="1"/>
    <row r="228" ht="36.75" customHeight="1"/>
    <row r="229" ht="36.75" customHeight="1"/>
    <row r="230" ht="36.75" customHeight="1"/>
    <row r="231" ht="36.75" customHeight="1"/>
    <row r="232" ht="36.75" customHeight="1"/>
    <row r="233" ht="36.75" customHeight="1"/>
    <row r="234" ht="36.75" customHeight="1"/>
    <row r="235" ht="36.75" customHeight="1"/>
    <row r="236" ht="36.75" customHeight="1"/>
    <row r="237" ht="36.75" customHeight="1"/>
    <row r="238" ht="36.75" customHeight="1"/>
    <row r="239" ht="36.75" customHeight="1"/>
    <row r="240" ht="36.75" customHeight="1"/>
    <row r="241" ht="36.75" customHeight="1"/>
    <row r="242" ht="36.75" customHeight="1"/>
    <row r="243" ht="36.75" customHeight="1"/>
    <row r="244" ht="36.75" customHeight="1"/>
    <row r="245" ht="36.75" customHeight="1"/>
    <row r="246" ht="36.75" customHeight="1"/>
    <row r="247" ht="36.75" customHeight="1"/>
    <row r="248" ht="36.75" customHeight="1"/>
    <row r="249" ht="36.75" customHeight="1"/>
    <row r="250" ht="36.75" customHeight="1"/>
    <row r="251" ht="36.75" customHeight="1"/>
    <row r="252" ht="36.75" customHeight="1"/>
    <row r="253" ht="36.75" customHeight="1"/>
    <row r="254" ht="36.75" customHeight="1"/>
    <row r="255" ht="36.75" customHeight="1"/>
    <row r="256" ht="36.75" customHeight="1"/>
    <row r="257" ht="36.75" customHeight="1"/>
    <row r="258" ht="36.75" customHeight="1"/>
    <row r="259" ht="36.75" customHeight="1"/>
    <row r="260" ht="36.75" customHeight="1"/>
    <row r="261" ht="36.75" customHeight="1"/>
    <row r="262" ht="36.75" customHeight="1"/>
    <row r="263" ht="36.75" customHeight="1"/>
  </sheetData>
  <mergeCells count="76">
    <mergeCell ref="C159:C165"/>
    <mergeCell ref="C167:C173"/>
    <mergeCell ref="C174:C175"/>
    <mergeCell ref="C177:C179"/>
    <mergeCell ref="D2:D3"/>
    <mergeCell ref="C126:C128"/>
    <mergeCell ref="C134:C138"/>
    <mergeCell ref="C140:C142"/>
    <mergeCell ref="C144:C152"/>
    <mergeCell ref="C153:C157"/>
    <mergeCell ref="B159:B165"/>
    <mergeCell ref="B167:B175"/>
    <mergeCell ref="B177:B179"/>
    <mergeCell ref="C2:C3"/>
    <mergeCell ref="C6:C20"/>
    <mergeCell ref="C21:C28"/>
    <mergeCell ref="C29:C30"/>
    <mergeCell ref="C31:C32"/>
    <mergeCell ref="C34:C39"/>
    <mergeCell ref="C41:C45"/>
    <mergeCell ref="C46:C57"/>
    <mergeCell ref="C59:C67"/>
    <mergeCell ref="C68:C77"/>
    <mergeCell ref="C78:C84"/>
    <mergeCell ref="C86:C88"/>
    <mergeCell ref="C91:C98"/>
    <mergeCell ref="A166:B166"/>
    <mergeCell ref="A176:B176"/>
    <mergeCell ref="A2:A3"/>
    <mergeCell ref="B2:B3"/>
    <mergeCell ref="B6:B28"/>
    <mergeCell ref="B29:B30"/>
    <mergeCell ref="B31:B32"/>
    <mergeCell ref="B34:B39"/>
    <mergeCell ref="B41:B45"/>
    <mergeCell ref="B46:B57"/>
    <mergeCell ref="B59:B84"/>
    <mergeCell ref="B86:B88"/>
    <mergeCell ref="B91:B98"/>
    <mergeCell ref="B100:B104"/>
    <mergeCell ref="B106:B107"/>
    <mergeCell ref="B109:B120"/>
    <mergeCell ref="A125:B125"/>
    <mergeCell ref="A133:B133"/>
    <mergeCell ref="A139:B139"/>
    <mergeCell ref="A143:B143"/>
    <mergeCell ref="A158:B158"/>
    <mergeCell ref="B126:B132"/>
    <mergeCell ref="B134:B138"/>
    <mergeCell ref="B140:B142"/>
    <mergeCell ref="B144:B157"/>
    <mergeCell ref="A99:B99"/>
    <mergeCell ref="A105:B105"/>
    <mergeCell ref="A108:B108"/>
    <mergeCell ref="A121:B121"/>
    <mergeCell ref="A124:C124"/>
    <mergeCell ref="B122:B123"/>
    <mergeCell ref="C100:C104"/>
    <mergeCell ref="C106:C107"/>
    <mergeCell ref="C109:C113"/>
    <mergeCell ref="C114:C120"/>
    <mergeCell ref="C122:C123"/>
    <mergeCell ref="A40:B40"/>
    <mergeCell ref="A58:B58"/>
    <mergeCell ref="A85:B85"/>
    <mergeCell ref="A89:C89"/>
    <mergeCell ref="A90:B90"/>
    <mergeCell ref="A1:K1"/>
    <mergeCell ref="E2:G2"/>
    <mergeCell ref="A4:C4"/>
    <mergeCell ref="A5:B5"/>
    <mergeCell ref="A33:B33"/>
    <mergeCell ref="H2:H3"/>
    <mergeCell ref="I2:I3"/>
    <mergeCell ref="J2:J3"/>
    <mergeCell ref="K2:K3"/>
  </mergeCells>
  <phoneticPr fontId="2" type="noConversion"/>
  <printOptions horizontalCentered="1"/>
  <pageMargins left="0.15972222222222199" right="0.2" top="0.389583333333333" bottom="0.42986111111111103" header="0.34930555555555598" footer="7.9861111111111105E-2"/>
  <pageSetup paperSize="9" scale="75" orientation="portrait" horizontalDpi="300" verticalDpi="300"/>
  <headerFooter scaleWithDoc="0"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固装产品</vt:lpstr>
      <vt:lpstr>五金产品</vt:lpstr>
      <vt:lpstr>固装产品!Print_Titles</vt:lpstr>
      <vt:lpstr>五金产品!Print_Titles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NTKO</cp:lastModifiedBy>
  <cp:revision>1</cp:revision>
  <cp:lastPrinted>2016-12-29T06:51:00Z</cp:lastPrinted>
  <dcterms:created xsi:type="dcterms:W3CDTF">2015-11-18T01:55:00Z</dcterms:created>
  <dcterms:modified xsi:type="dcterms:W3CDTF">2019-10-15T05:27:26Z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